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量化赋分表!$B$6:$O$205</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Admin</author>
    <author>Lenovo User</author>
    <author>FtpDown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请在下拉列表中选择填写内容！</t>
        </r>
      </text>
    </comment>
    <comment ref="C44" authorId="1">
      <text>
        <r>
          <rPr>
            <b/>
            <sz val="9"/>
            <rFont val="宋体"/>
            <charset val="134"/>
          </rPr>
          <t>admin:</t>
        </r>
        <r>
          <rPr>
            <sz val="9"/>
            <rFont val="宋体"/>
            <charset val="134"/>
          </rPr>
          <t xml:space="preserve">
请在下拉列表中选择填写内容！
</t>
        </r>
      </text>
    </comment>
    <comment ref="E44" authorId="1">
      <text>
        <r>
          <rPr>
            <b/>
            <sz val="9"/>
            <rFont val="宋体"/>
            <charset val="134"/>
          </rPr>
          <t>admin:</t>
        </r>
        <r>
          <rPr>
            <sz val="9"/>
            <rFont val="宋体"/>
            <charset val="134"/>
          </rPr>
          <t xml:space="preserve">
填写格式例：
2012年09月1日-2014年9月6日。
</t>
        </r>
      </text>
    </comment>
    <comment ref="J44" authorId="1">
      <text>
        <r>
          <rPr>
            <b/>
            <sz val="9"/>
            <rFont val="宋体"/>
            <charset val="134"/>
          </rPr>
          <t>admin:</t>
        </r>
        <r>
          <rPr>
            <sz val="9"/>
            <rFont val="宋体"/>
            <charset val="134"/>
          </rPr>
          <t xml:space="preserve">
线上培训地点为“线上及学习平台”；线下培训写明培训城市或培训院校（单位)</t>
        </r>
      </text>
    </comment>
    <comment ref="C56" authorId="1">
      <text>
        <r>
          <rPr>
            <b/>
            <sz val="9"/>
            <rFont val="宋体"/>
            <charset val="134"/>
          </rPr>
          <t>admin:</t>
        </r>
        <r>
          <rPr>
            <sz val="9"/>
            <rFont val="宋体"/>
            <charset val="134"/>
          </rPr>
          <t xml:space="preserve">
填写格式例：
2012年09月
</t>
        </r>
      </text>
    </comment>
    <comment ref="E65" authorId="1">
      <text>
        <r>
          <rPr>
            <b/>
            <sz val="9"/>
            <rFont val="宋体"/>
            <charset val="134"/>
          </rPr>
          <t>admin:</t>
        </r>
        <r>
          <rPr>
            <sz val="9"/>
            <rFont val="宋体"/>
            <charset val="134"/>
          </rPr>
          <t xml:space="preserve">
填写格式例：
2012年09月-2014年9月</t>
        </r>
      </text>
    </comment>
    <comment ref="B70" authorId="0">
      <text>
        <r>
          <rPr>
            <b/>
            <sz val="9"/>
            <rFont val="宋体"/>
            <charset val="134"/>
          </rPr>
          <t>作者:</t>
        </r>
        <r>
          <rPr>
            <sz val="9"/>
            <rFont val="宋体"/>
            <charset val="134"/>
          </rPr>
          <t xml:space="preserve">
请在下拉列表中选择填写内容！“示范专业”请选择“品牌专业”。</t>
        </r>
      </text>
    </comment>
    <comment ref="C70" authorId="2">
      <text>
        <r>
          <rPr>
            <b/>
            <sz val="9"/>
            <rFont val="宋体"/>
            <charset val="134"/>
          </rPr>
          <t>Admin:</t>
        </r>
        <r>
          <rPr>
            <sz val="9"/>
            <rFont val="宋体"/>
            <charset val="134"/>
          </rPr>
          <t xml:space="preserve">
请在下拉列表中选择填写内容！
</t>
        </r>
      </text>
    </comment>
    <comment ref="E70" authorId="0">
      <text>
        <r>
          <rPr>
            <b/>
            <sz val="9"/>
            <rFont val="宋体"/>
            <charset val="134"/>
          </rPr>
          <t>作者:</t>
        </r>
        <r>
          <rPr>
            <sz val="9"/>
            <rFont val="宋体"/>
            <charset val="134"/>
          </rPr>
          <t xml:space="preserve">
请在下拉列表中选择填写内容！</t>
        </r>
      </text>
    </comment>
    <comment ref="I70" authorId="3">
      <text>
        <r>
          <rPr>
            <b/>
            <sz val="9"/>
            <rFont val="宋体"/>
            <charset val="134"/>
          </rPr>
          <t xml:space="preserve">作者:
</t>
        </r>
        <r>
          <rPr>
            <sz val="9"/>
            <rFont val="宋体"/>
            <charset val="134"/>
          </rPr>
          <t>请在下拉列表中选择填写内容！</t>
        </r>
      </text>
    </comment>
    <comment ref="J70" authorId="0">
      <text>
        <r>
          <rPr>
            <b/>
            <sz val="9"/>
            <rFont val="宋体"/>
            <charset val="134"/>
          </rPr>
          <t>作者:
直接填写数字！</t>
        </r>
        <r>
          <rPr>
            <sz val="9"/>
            <rFont val="宋体"/>
            <charset val="134"/>
          </rPr>
          <t>属“独立完成”不填写本栏目。</t>
        </r>
      </text>
    </comment>
    <comment ref="K70" authorId="0">
      <text>
        <r>
          <rPr>
            <b/>
            <sz val="9"/>
            <rFont val="宋体"/>
            <charset val="134"/>
          </rPr>
          <t>作者:
直接填写数字！</t>
        </r>
        <r>
          <rPr>
            <sz val="9"/>
            <rFont val="宋体"/>
            <charset val="134"/>
          </rPr>
          <t>属“独立完成”不填写本栏目。</t>
        </r>
      </text>
    </comment>
    <comment ref="B76" authorId="0">
      <text>
        <r>
          <rPr>
            <b/>
            <sz val="9"/>
            <rFont val="宋体"/>
            <charset val="134"/>
          </rPr>
          <t>作者:</t>
        </r>
        <r>
          <rPr>
            <sz val="9"/>
            <rFont val="宋体"/>
            <charset val="134"/>
          </rPr>
          <t xml:space="preserve">
请在下拉列表中选择填写内容！</t>
        </r>
      </text>
    </comment>
    <comment ref="G76" authorId="0">
      <text>
        <r>
          <rPr>
            <b/>
            <sz val="9"/>
            <rFont val="宋体"/>
            <charset val="134"/>
          </rPr>
          <t>作者:</t>
        </r>
        <r>
          <rPr>
            <sz val="9"/>
            <rFont val="宋体"/>
            <charset val="134"/>
          </rPr>
          <t xml:space="preserve">
如：“辽宁省人民政府”,“辽宁省教育厅”,“教育部”等。</t>
        </r>
      </text>
    </comment>
    <comment ref="H76" authorId="3">
      <text>
        <r>
          <rPr>
            <b/>
            <sz val="9"/>
            <rFont val="宋体"/>
            <charset val="134"/>
          </rPr>
          <t xml:space="preserve">作者:
</t>
        </r>
        <r>
          <rPr>
            <sz val="9"/>
            <rFont val="宋体"/>
            <charset val="134"/>
          </rPr>
          <t>请在下拉列表中选择填写内容！</t>
        </r>
      </text>
    </comment>
    <comment ref="I76" authorId="4">
      <text>
        <r>
          <rPr>
            <b/>
            <sz val="9"/>
            <rFont val="宋体"/>
            <charset val="134"/>
          </rPr>
          <t>作者:
直接填写数字！</t>
        </r>
        <r>
          <rPr>
            <sz val="9"/>
            <rFont val="宋体"/>
            <charset val="134"/>
          </rPr>
          <t>属“独立完成”不填写本栏目。</t>
        </r>
      </text>
    </comment>
    <comment ref="J76" authorId="0">
      <text>
        <r>
          <rPr>
            <b/>
            <sz val="9"/>
            <rFont val="宋体"/>
            <charset val="134"/>
          </rPr>
          <t>作者:
直接填写数字！</t>
        </r>
        <r>
          <rPr>
            <sz val="9"/>
            <rFont val="宋体"/>
            <charset val="134"/>
          </rPr>
          <t>属“独立完成”不填写本栏目。</t>
        </r>
      </text>
    </comment>
    <comment ref="K76" authorId="0">
      <text>
        <r>
          <rPr>
            <b/>
            <sz val="9"/>
            <rFont val="宋体"/>
            <charset val="134"/>
          </rPr>
          <t>作者:
只填写数字！请注意单位！</t>
        </r>
      </text>
    </comment>
    <comment ref="B77" authorId="0">
      <text>
        <r>
          <rPr>
            <b/>
            <sz val="9"/>
            <rFont val="宋体"/>
            <charset val="134"/>
          </rPr>
          <t>作者:</t>
        </r>
        <r>
          <rPr>
            <sz val="9"/>
            <rFont val="宋体"/>
            <charset val="134"/>
          </rPr>
          <t xml:space="preserve">
请在下拉列表中选择填写内容！</t>
        </r>
      </text>
    </comment>
    <comment ref="G77" authorId="0">
      <text>
        <r>
          <rPr>
            <b/>
            <sz val="9"/>
            <rFont val="宋体"/>
            <charset val="134"/>
          </rPr>
          <t>作者:</t>
        </r>
        <r>
          <rPr>
            <sz val="9"/>
            <rFont val="宋体"/>
            <charset val="134"/>
          </rPr>
          <t xml:space="preserve">
如：“辽宁省人民政府”,“辽宁省教育厅”,“教育部”等。</t>
        </r>
      </text>
    </comment>
    <comment ref="H77" authorId="3">
      <text>
        <r>
          <rPr>
            <b/>
            <sz val="9"/>
            <rFont val="宋体"/>
            <charset val="134"/>
          </rPr>
          <t xml:space="preserve">作者:
</t>
        </r>
        <r>
          <rPr>
            <sz val="9"/>
            <rFont val="宋体"/>
            <charset val="134"/>
          </rPr>
          <t>请在下拉列表中选择填写内容！</t>
        </r>
      </text>
    </comment>
    <comment ref="I77" authorId="4">
      <text>
        <r>
          <rPr>
            <b/>
            <sz val="9"/>
            <rFont val="宋体"/>
            <charset val="134"/>
          </rPr>
          <t>作者:
直接填写数字！</t>
        </r>
        <r>
          <rPr>
            <sz val="9"/>
            <rFont val="宋体"/>
            <charset val="134"/>
          </rPr>
          <t>属“独立完成”不填写本栏目。</t>
        </r>
      </text>
    </comment>
    <comment ref="J77" authorId="0">
      <text>
        <r>
          <rPr>
            <b/>
            <sz val="9"/>
            <rFont val="宋体"/>
            <charset val="134"/>
          </rPr>
          <t>作者:
直接填写数字！</t>
        </r>
        <r>
          <rPr>
            <sz val="9"/>
            <rFont val="宋体"/>
            <charset val="134"/>
          </rPr>
          <t>属“独立完成”不填写本栏目。</t>
        </r>
      </text>
    </comment>
    <comment ref="K77" authorId="0">
      <text>
        <r>
          <rPr>
            <b/>
            <sz val="9"/>
            <rFont val="宋体"/>
            <charset val="134"/>
          </rPr>
          <t>作者:
只填写数字！请注意单位！</t>
        </r>
      </text>
    </comment>
    <comment ref="B78" authorId="0">
      <text>
        <r>
          <rPr>
            <b/>
            <sz val="9"/>
            <rFont val="宋体"/>
            <charset val="134"/>
          </rPr>
          <t>作者:</t>
        </r>
        <r>
          <rPr>
            <sz val="9"/>
            <rFont val="宋体"/>
            <charset val="134"/>
          </rPr>
          <t xml:space="preserve">
请在下拉列表中选择填写内容！</t>
        </r>
      </text>
    </comment>
    <comment ref="G78" authorId="0">
      <text>
        <r>
          <rPr>
            <b/>
            <sz val="9"/>
            <rFont val="宋体"/>
            <charset val="134"/>
          </rPr>
          <t>作者:</t>
        </r>
        <r>
          <rPr>
            <sz val="9"/>
            <rFont val="宋体"/>
            <charset val="134"/>
          </rPr>
          <t xml:space="preserve">
如：“辽宁省人民政府”,“辽宁省教育厅”,“教育部”等。</t>
        </r>
      </text>
    </comment>
    <comment ref="H78" authorId="3">
      <text>
        <r>
          <rPr>
            <b/>
            <sz val="9"/>
            <rFont val="宋体"/>
            <charset val="134"/>
          </rPr>
          <t xml:space="preserve">作者:
</t>
        </r>
        <r>
          <rPr>
            <sz val="9"/>
            <rFont val="宋体"/>
            <charset val="134"/>
          </rPr>
          <t>请在下拉列表中选择填写内容！</t>
        </r>
      </text>
    </comment>
    <comment ref="I78" authorId="4">
      <text>
        <r>
          <rPr>
            <b/>
            <sz val="9"/>
            <rFont val="宋体"/>
            <charset val="134"/>
          </rPr>
          <t>作者:
直接填写数字！</t>
        </r>
        <r>
          <rPr>
            <sz val="9"/>
            <rFont val="宋体"/>
            <charset val="134"/>
          </rPr>
          <t>属“独立完成”不填写本栏目。</t>
        </r>
      </text>
    </comment>
    <comment ref="J78" authorId="0">
      <text>
        <r>
          <rPr>
            <b/>
            <sz val="9"/>
            <rFont val="宋体"/>
            <charset val="134"/>
          </rPr>
          <t>作者:
直接填写数字！</t>
        </r>
        <r>
          <rPr>
            <sz val="9"/>
            <rFont val="宋体"/>
            <charset val="134"/>
          </rPr>
          <t>属“独立完成”不填写本栏目。</t>
        </r>
      </text>
    </comment>
    <comment ref="K78" authorId="0">
      <text>
        <r>
          <rPr>
            <b/>
            <sz val="9"/>
            <rFont val="宋体"/>
            <charset val="134"/>
          </rPr>
          <t>作者:
只填写数字！请注意单位！</t>
        </r>
      </text>
    </comment>
    <comment ref="B82" authorId="0">
      <text>
        <r>
          <rPr>
            <b/>
            <sz val="9"/>
            <rFont val="宋体"/>
            <charset val="134"/>
          </rPr>
          <t>作者:</t>
        </r>
        <r>
          <rPr>
            <sz val="9"/>
            <rFont val="宋体"/>
            <charset val="134"/>
          </rPr>
          <t xml:space="preserve">
请在下拉列表中选择填写内容！</t>
        </r>
      </text>
    </comment>
    <comment ref="C82" authorId="0">
      <text>
        <r>
          <rPr>
            <b/>
            <sz val="9"/>
            <rFont val="宋体"/>
            <charset val="134"/>
          </rPr>
          <t>作者:</t>
        </r>
        <r>
          <rPr>
            <sz val="9"/>
            <rFont val="宋体"/>
            <charset val="134"/>
          </rPr>
          <t xml:space="preserve">
请在下拉列表中选择填写内容！</t>
        </r>
      </text>
    </comment>
    <comment ref="G82" authorId="1">
      <text>
        <r>
          <rPr>
            <b/>
            <sz val="9"/>
            <rFont val="宋体"/>
            <charset val="134"/>
          </rPr>
          <t>admin:</t>
        </r>
        <r>
          <rPr>
            <sz val="9"/>
            <rFont val="宋体"/>
            <charset val="134"/>
          </rPr>
          <t xml:space="preserve">
作者:
如：“辽宁省人民政府”,“辽宁省教育厅”,“教育部”等。
</t>
        </r>
      </text>
    </comment>
    <comment ref="I82" authorId="3">
      <text>
        <r>
          <rPr>
            <b/>
            <sz val="9"/>
            <rFont val="宋体"/>
            <charset val="134"/>
          </rPr>
          <t xml:space="preserve">作者:
</t>
        </r>
        <r>
          <rPr>
            <sz val="9"/>
            <rFont val="宋体"/>
            <charset val="134"/>
          </rPr>
          <t>请在下拉列表中选择填写内容！</t>
        </r>
      </text>
    </comment>
    <comment ref="J82" authorId="4">
      <text>
        <r>
          <rPr>
            <b/>
            <sz val="9"/>
            <rFont val="宋体"/>
            <charset val="134"/>
          </rPr>
          <t>作者:
直接填写数字！</t>
        </r>
        <r>
          <rPr>
            <sz val="9"/>
            <rFont val="宋体"/>
            <charset val="134"/>
          </rPr>
          <t>属“独立完成”不填写本栏目。</t>
        </r>
      </text>
    </comment>
    <comment ref="K82" authorId="0">
      <text>
        <r>
          <rPr>
            <b/>
            <sz val="9"/>
            <rFont val="宋体"/>
            <charset val="134"/>
          </rPr>
          <t>作者:
直接填写数字！</t>
        </r>
        <r>
          <rPr>
            <sz val="9"/>
            <rFont val="宋体"/>
            <charset val="134"/>
          </rPr>
          <t>属“独立完成”不填写本栏目。</t>
        </r>
      </text>
    </comment>
    <comment ref="B83" authorId="0">
      <text>
        <r>
          <rPr>
            <b/>
            <sz val="9"/>
            <rFont val="宋体"/>
            <charset val="134"/>
          </rPr>
          <t>作者:</t>
        </r>
        <r>
          <rPr>
            <sz val="9"/>
            <rFont val="宋体"/>
            <charset val="134"/>
          </rPr>
          <t xml:space="preserve">
请在下拉列表中选择填写内容！</t>
        </r>
      </text>
    </comment>
    <comment ref="C83" authorId="0">
      <text>
        <r>
          <rPr>
            <b/>
            <sz val="9"/>
            <rFont val="宋体"/>
            <charset val="134"/>
          </rPr>
          <t>作者:</t>
        </r>
        <r>
          <rPr>
            <sz val="9"/>
            <rFont val="宋体"/>
            <charset val="134"/>
          </rPr>
          <t xml:space="preserve">
请在下拉列表中选择填写内容！</t>
        </r>
      </text>
    </comment>
    <comment ref="G83" authorId="1">
      <text>
        <r>
          <rPr>
            <b/>
            <sz val="9"/>
            <rFont val="宋体"/>
            <charset val="134"/>
          </rPr>
          <t>admin:</t>
        </r>
        <r>
          <rPr>
            <sz val="9"/>
            <rFont val="宋体"/>
            <charset val="134"/>
          </rPr>
          <t xml:space="preserve">
作者:
如：“辽宁省人民政府”,“辽宁省教育厅”,“教育部”等。</t>
        </r>
      </text>
    </comment>
    <comment ref="I83" authorId="3">
      <text>
        <r>
          <rPr>
            <b/>
            <sz val="9"/>
            <rFont val="宋体"/>
            <charset val="134"/>
          </rPr>
          <t xml:space="preserve">作者:
</t>
        </r>
        <r>
          <rPr>
            <sz val="9"/>
            <rFont val="宋体"/>
            <charset val="134"/>
          </rPr>
          <t>请在下拉列表中选择填写内容！</t>
        </r>
      </text>
    </comment>
    <comment ref="J83" authorId="4">
      <text>
        <r>
          <rPr>
            <b/>
            <sz val="9"/>
            <rFont val="宋体"/>
            <charset val="134"/>
          </rPr>
          <t>作者:
直接填写数字！</t>
        </r>
        <r>
          <rPr>
            <sz val="9"/>
            <rFont val="宋体"/>
            <charset val="134"/>
          </rPr>
          <t>属“独立完成”不填写本栏目。</t>
        </r>
      </text>
    </comment>
    <comment ref="K83" authorId="0">
      <text>
        <r>
          <rPr>
            <b/>
            <sz val="9"/>
            <rFont val="宋体"/>
            <charset val="134"/>
          </rPr>
          <t>作者:
直接填写数字！</t>
        </r>
        <r>
          <rPr>
            <sz val="9"/>
            <rFont val="宋体"/>
            <charset val="134"/>
          </rPr>
          <t>属“独立完成”不填写本栏目。</t>
        </r>
      </text>
    </comment>
    <comment ref="B87" authorId="2">
      <text>
        <r>
          <rPr>
            <b/>
            <sz val="9"/>
            <rFont val="宋体"/>
            <charset val="134"/>
          </rPr>
          <t>Admin:</t>
        </r>
        <r>
          <rPr>
            <sz val="9"/>
            <rFont val="宋体"/>
            <charset val="134"/>
          </rPr>
          <t xml:space="preserve">
请在下拉列表中选择填写内容！
</t>
        </r>
      </text>
    </comment>
    <comment ref="C87" authorId="0">
      <text>
        <r>
          <rPr>
            <b/>
            <sz val="9"/>
            <rFont val="宋体"/>
            <charset val="134"/>
          </rPr>
          <t>作者:</t>
        </r>
        <r>
          <rPr>
            <sz val="9"/>
            <rFont val="宋体"/>
            <charset val="134"/>
          </rPr>
          <t xml:space="preserve">
请在下拉列表中选择填写内容！</t>
        </r>
      </text>
    </comment>
    <comment ref="I87" authorId="1">
      <text>
        <r>
          <rPr>
            <b/>
            <sz val="9"/>
            <rFont val="宋体"/>
            <charset val="134"/>
          </rPr>
          <t>admin:</t>
        </r>
        <r>
          <rPr>
            <sz val="9"/>
            <rFont val="宋体"/>
            <charset val="134"/>
          </rPr>
          <t xml:space="preserve">
请规范填写时间！格式为“1999年10月”</t>
        </r>
      </text>
    </comment>
    <comment ref="J87" authorId="3">
      <text>
        <r>
          <rPr>
            <b/>
            <sz val="9"/>
            <rFont val="宋体"/>
            <charset val="134"/>
          </rPr>
          <t xml:space="preserve">作者:
</t>
        </r>
        <r>
          <rPr>
            <sz val="9"/>
            <rFont val="宋体"/>
            <charset val="134"/>
          </rPr>
          <t>请在下拉列表中选择填写内容！</t>
        </r>
      </text>
    </comment>
    <comment ref="K87" authorId="0">
      <text>
        <r>
          <rPr>
            <b/>
            <sz val="9"/>
            <rFont val="宋体"/>
            <charset val="134"/>
          </rPr>
          <t>作者:
直接填写数字！</t>
        </r>
        <r>
          <rPr>
            <sz val="9"/>
            <rFont val="宋体"/>
            <charset val="134"/>
          </rPr>
          <t>属“独立完成”不填写本栏目。</t>
        </r>
      </text>
    </comment>
    <comment ref="B88" authorId="2">
      <text>
        <r>
          <rPr>
            <b/>
            <sz val="9"/>
            <rFont val="宋体"/>
            <charset val="134"/>
          </rPr>
          <t>Admin:</t>
        </r>
        <r>
          <rPr>
            <sz val="9"/>
            <rFont val="宋体"/>
            <charset val="134"/>
          </rPr>
          <t xml:space="preserve">
请在下拉列表中选择填写内容！
</t>
        </r>
      </text>
    </comment>
    <comment ref="C88" authorId="0">
      <text>
        <r>
          <rPr>
            <b/>
            <sz val="9"/>
            <rFont val="宋体"/>
            <charset val="134"/>
          </rPr>
          <t>作者:</t>
        </r>
        <r>
          <rPr>
            <sz val="9"/>
            <rFont val="宋体"/>
            <charset val="134"/>
          </rPr>
          <t xml:space="preserve">
请在下拉列表中选择填写内容！</t>
        </r>
      </text>
    </comment>
    <comment ref="J88" authorId="3">
      <text>
        <r>
          <rPr>
            <b/>
            <sz val="9"/>
            <rFont val="宋体"/>
            <charset val="134"/>
          </rPr>
          <t xml:space="preserve">作者:
</t>
        </r>
        <r>
          <rPr>
            <sz val="9"/>
            <rFont val="宋体"/>
            <charset val="134"/>
          </rPr>
          <t>请在下拉列表中选择填写内容！</t>
        </r>
      </text>
    </comment>
    <comment ref="K88" authorId="0">
      <text>
        <r>
          <rPr>
            <b/>
            <sz val="9"/>
            <rFont val="宋体"/>
            <charset val="134"/>
          </rPr>
          <t>作者:
直接填写数字！</t>
        </r>
        <r>
          <rPr>
            <sz val="9"/>
            <rFont val="宋体"/>
            <charset val="134"/>
          </rPr>
          <t>属“独立完成”不填写本栏目。</t>
        </r>
      </text>
    </comment>
    <comment ref="B93" authorId="0">
      <text>
        <r>
          <rPr>
            <b/>
            <sz val="9"/>
            <rFont val="宋体"/>
            <charset val="134"/>
          </rPr>
          <t>作者:</t>
        </r>
        <r>
          <rPr>
            <sz val="9"/>
            <rFont val="宋体"/>
            <charset val="134"/>
          </rPr>
          <t xml:space="preserve">
请在下拉列表中选择填写内容！</t>
        </r>
      </text>
    </comment>
    <comment ref="F93" authorId="4">
      <text>
        <r>
          <rPr>
            <b/>
            <sz val="9"/>
            <rFont val="宋体"/>
            <charset val="134"/>
          </rPr>
          <t xml:space="preserve">作者:
</t>
        </r>
        <r>
          <rPr>
            <sz val="9"/>
            <rFont val="宋体"/>
            <charset val="134"/>
          </rPr>
          <t>请不要加书名号！</t>
        </r>
      </text>
    </comment>
    <comment ref="H93"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93" authorId="3">
      <text>
        <r>
          <rPr>
            <b/>
            <sz val="9"/>
            <rFont val="宋体"/>
            <charset val="134"/>
          </rPr>
          <t xml:space="preserve">作者:
</t>
        </r>
        <r>
          <rPr>
            <sz val="9"/>
            <rFont val="宋体"/>
            <charset val="134"/>
          </rPr>
          <t>请在下拉列表中选择填写内容！</t>
        </r>
      </text>
    </comment>
    <comment ref="J93" authorId="4">
      <text>
        <r>
          <rPr>
            <b/>
            <sz val="9"/>
            <rFont val="宋体"/>
            <charset val="134"/>
          </rPr>
          <t>作者:
直接填写数字！</t>
        </r>
        <r>
          <rPr>
            <sz val="9"/>
            <rFont val="宋体"/>
            <charset val="134"/>
          </rPr>
          <t>属“独立完成”不填写本栏目。</t>
        </r>
      </text>
    </comment>
    <comment ref="K93" authorId="0">
      <text>
        <r>
          <rPr>
            <b/>
            <sz val="9"/>
            <rFont val="宋体"/>
            <charset val="134"/>
          </rPr>
          <t>作者:
直接填写数字！</t>
        </r>
        <r>
          <rPr>
            <sz val="9"/>
            <rFont val="宋体"/>
            <charset val="134"/>
          </rPr>
          <t>属“独立完成”不填写本栏目。</t>
        </r>
      </text>
    </comment>
    <comment ref="B94" authorId="0">
      <text>
        <r>
          <rPr>
            <b/>
            <sz val="9"/>
            <rFont val="宋体"/>
            <charset val="134"/>
          </rPr>
          <t>作者:</t>
        </r>
        <r>
          <rPr>
            <sz val="9"/>
            <rFont val="宋体"/>
            <charset val="134"/>
          </rPr>
          <t xml:space="preserve">
请在下拉列表中选择填写内容！</t>
        </r>
      </text>
    </comment>
    <comment ref="F94" authorId="4">
      <text>
        <r>
          <rPr>
            <b/>
            <sz val="9"/>
            <rFont val="宋体"/>
            <charset val="134"/>
          </rPr>
          <t xml:space="preserve">作者:
</t>
        </r>
        <r>
          <rPr>
            <sz val="9"/>
            <rFont val="宋体"/>
            <charset val="134"/>
          </rPr>
          <t>请不要加书名号！</t>
        </r>
      </text>
    </comment>
    <comment ref="H94"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94" authorId="3">
      <text>
        <r>
          <rPr>
            <b/>
            <sz val="9"/>
            <rFont val="宋体"/>
            <charset val="134"/>
          </rPr>
          <t xml:space="preserve">作者:
</t>
        </r>
        <r>
          <rPr>
            <sz val="9"/>
            <rFont val="宋体"/>
            <charset val="134"/>
          </rPr>
          <t>请在下拉列表中选择填写内容！</t>
        </r>
      </text>
    </comment>
    <comment ref="J94" authorId="4">
      <text>
        <r>
          <rPr>
            <b/>
            <sz val="9"/>
            <rFont val="宋体"/>
            <charset val="134"/>
          </rPr>
          <t>作者:
直接填写数字！</t>
        </r>
        <r>
          <rPr>
            <sz val="9"/>
            <rFont val="宋体"/>
            <charset val="134"/>
          </rPr>
          <t>属“独立完成”不填写本栏目。</t>
        </r>
      </text>
    </comment>
    <comment ref="K94" authorId="0">
      <text>
        <r>
          <rPr>
            <b/>
            <sz val="9"/>
            <rFont val="宋体"/>
            <charset val="134"/>
          </rPr>
          <t>作者:
直接填写数字！</t>
        </r>
        <r>
          <rPr>
            <sz val="9"/>
            <rFont val="宋体"/>
            <charset val="134"/>
          </rPr>
          <t>属“独立完成”不填写本栏目。</t>
        </r>
      </text>
    </comment>
    <comment ref="B96" authorId="0">
      <text>
        <r>
          <rPr>
            <b/>
            <sz val="9"/>
            <rFont val="宋体"/>
            <charset val="134"/>
          </rPr>
          <t>作者:</t>
        </r>
        <r>
          <rPr>
            <sz val="9"/>
            <rFont val="宋体"/>
            <charset val="134"/>
          </rPr>
          <t xml:space="preserve">
请在下拉列表中选择填写内容！</t>
        </r>
      </text>
    </comment>
    <comment ref="F96" authorId="4">
      <text>
        <r>
          <rPr>
            <b/>
            <sz val="9"/>
            <rFont val="宋体"/>
            <charset val="134"/>
          </rPr>
          <t xml:space="preserve">作者:
</t>
        </r>
        <r>
          <rPr>
            <sz val="9"/>
            <rFont val="宋体"/>
            <charset val="134"/>
          </rPr>
          <t>请不要加书名号！</t>
        </r>
      </text>
    </comment>
    <comment ref="H96"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96" authorId="3">
      <text>
        <r>
          <rPr>
            <b/>
            <sz val="9"/>
            <rFont val="宋体"/>
            <charset val="134"/>
          </rPr>
          <t xml:space="preserve">作者:
</t>
        </r>
        <r>
          <rPr>
            <sz val="9"/>
            <rFont val="宋体"/>
            <charset val="134"/>
          </rPr>
          <t>请在下拉列表中选择填写内容！</t>
        </r>
      </text>
    </comment>
    <comment ref="J96" authorId="4">
      <text>
        <r>
          <rPr>
            <b/>
            <sz val="9"/>
            <rFont val="宋体"/>
            <charset val="134"/>
          </rPr>
          <t>作者:
直接填写数字！</t>
        </r>
        <r>
          <rPr>
            <sz val="9"/>
            <rFont val="宋体"/>
            <charset val="134"/>
          </rPr>
          <t>属“独立完成”不填写本栏目。</t>
        </r>
      </text>
    </comment>
    <comment ref="K96" authorId="0">
      <text>
        <r>
          <rPr>
            <b/>
            <sz val="9"/>
            <rFont val="宋体"/>
            <charset val="134"/>
          </rPr>
          <t>作者:
直接填写数字！</t>
        </r>
        <r>
          <rPr>
            <sz val="9"/>
            <rFont val="宋体"/>
            <charset val="134"/>
          </rPr>
          <t>属“独立完成”不填写本栏目。</t>
        </r>
      </text>
    </comment>
    <comment ref="B100" authorId="0">
      <text>
        <r>
          <rPr>
            <b/>
            <sz val="9"/>
            <rFont val="宋体"/>
            <charset val="134"/>
          </rPr>
          <t>作者:</t>
        </r>
        <r>
          <rPr>
            <sz val="9"/>
            <rFont val="宋体"/>
            <charset val="134"/>
          </rPr>
          <t xml:space="preserve">
请在下拉列表中选择填写内容！</t>
        </r>
      </text>
    </comment>
    <comment ref="C100" authorId="2">
      <text>
        <r>
          <rPr>
            <b/>
            <sz val="9"/>
            <rFont val="宋体"/>
            <charset val="134"/>
          </rPr>
          <t>Admin:</t>
        </r>
        <r>
          <rPr>
            <sz val="9"/>
            <rFont val="宋体"/>
            <charset val="134"/>
          </rPr>
          <t xml:space="preserve">
请在下拉列表中选择填写内容！
</t>
        </r>
      </text>
    </comment>
    <comment ref="E100" authorId="0">
      <text>
        <r>
          <rPr>
            <b/>
            <sz val="9"/>
            <rFont val="宋体"/>
            <charset val="134"/>
          </rPr>
          <t>作者:</t>
        </r>
        <r>
          <rPr>
            <sz val="9"/>
            <rFont val="宋体"/>
            <charset val="134"/>
          </rPr>
          <t xml:space="preserve">
请在下拉列表中选择填写内容！</t>
        </r>
      </text>
    </comment>
    <comment ref="I100" authorId="3">
      <text>
        <r>
          <rPr>
            <b/>
            <sz val="9"/>
            <rFont val="宋体"/>
            <charset val="134"/>
          </rPr>
          <t xml:space="preserve">作者:
</t>
        </r>
        <r>
          <rPr>
            <sz val="9"/>
            <rFont val="宋体"/>
            <charset val="134"/>
          </rPr>
          <t>请在下拉列表中选择填写内容！</t>
        </r>
      </text>
    </comment>
    <comment ref="J100" authorId="0">
      <text>
        <r>
          <rPr>
            <b/>
            <sz val="9"/>
            <rFont val="宋体"/>
            <charset val="134"/>
          </rPr>
          <t>作者:
直接填写数字！</t>
        </r>
        <r>
          <rPr>
            <sz val="9"/>
            <rFont val="宋体"/>
            <charset val="134"/>
          </rPr>
          <t>属“独立完成”不填写本栏目。</t>
        </r>
      </text>
    </comment>
    <comment ref="K100" authorId="0">
      <text>
        <r>
          <rPr>
            <b/>
            <sz val="9"/>
            <rFont val="宋体"/>
            <charset val="134"/>
          </rPr>
          <t>作者:
直接填写数字！</t>
        </r>
        <r>
          <rPr>
            <sz val="9"/>
            <rFont val="宋体"/>
            <charset val="134"/>
          </rPr>
          <t>属“独立完成”不填写本栏目。</t>
        </r>
      </text>
    </comment>
    <comment ref="B101" authorId="0">
      <text>
        <r>
          <rPr>
            <b/>
            <sz val="9"/>
            <rFont val="宋体"/>
            <charset val="134"/>
          </rPr>
          <t>作者:</t>
        </r>
        <r>
          <rPr>
            <sz val="9"/>
            <rFont val="宋体"/>
            <charset val="134"/>
          </rPr>
          <t xml:space="preserve">
请在下拉列表中选择填写内容！“示范专业”请选择“品牌专业”。</t>
        </r>
      </text>
    </comment>
    <comment ref="C101" authorId="2">
      <text>
        <r>
          <rPr>
            <b/>
            <sz val="9"/>
            <rFont val="宋体"/>
            <charset val="134"/>
          </rPr>
          <t>Admin:</t>
        </r>
        <r>
          <rPr>
            <sz val="9"/>
            <rFont val="宋体"/>
            <charset val="134"/>
          </rPr>
          <t xml:space="preserve">
请在下拉列表中选择填写内容！
</t>
        </r>
      </text>
    </comment>
    <comment ref="E101" authorId="0">
      <text>
        <r>
          <rPr>
            <b/>
            <sz val="9"/>
            <rFont val="宋体"/>
            <charset val="134"/>
          </rPr>
          <t>作者:</t>
        </r>
        <r>
          <rPr>
            <sz val="9"/>
            <rFont val="宋体"/>
            <charset val="134"/>
          </rPr>
          <t xml:space="preserve">
请在下拉列表中选择填写内容！</t>
        </r>
      </text>
    </comment>
    <comment ref="I101" authorId="3">
      <text>
        <r>
          <rPr>
            <b/>
            <sz val="9"/>
            <rFont val="宋体"/>
            <charset val="134"/>
          </rPr>
          <t xml:space="preserve">作者:
</t>
        </r>
        <r>
          <rPr>
            <sz val="9"/>
            <rFont val="宋体"/>
            <charset val="134"/>
          </rPr>
          <t>请在下拉列表中选择填写内容！</t>
        </r>
      </text>
    </comment>
    <comment ref="J101" authorId="0">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5" authorId="0">
      <text>
        <r>
          <rPr>
            <b/>
            <sz val="9"/>
            <rFont val="宋体"/>
            <charset val="134"/>
          </rPr>
          <t>作者:</t>
        </r>
        <r>
          <rPr>
            <sz val="9"/>
            <rFont val="宋体"/>
            <charset val="134"/>
          </rPr>
          <t xml:space="preserve">
请在下拉列表中选择填写内容！</t>
        </r>
      </text>
    </comment>
    <comment ref="G105" authorId="0">
      <text>
        <r>
          <rPr>
            <b/>
            <sz val="9"/>
            <rFont val="宋体"/>
            <charset val="134"/>
          </rPr>
          <t>作者:</t>
        </r>
        <r>
          <rPr>
            <sz val="9"/>
            <rFont val="宋体"/>
            <charset val="134"/>
          </rPr>
          <t xml:space="preserve">
如：“辽宁省人民政府”,“辽宁省教育厅”,“教育部”等。</t>
        </r>
      </text>
    </comment>
    <comment ref="H105" authorId="3">
      <text>
        <r>
          <rPr>
            <b/>
            <sz val="9"/>
            <rFont val="宋体"/>
            <charset val="134"/>
          </rPr>
          <t xml:space="preserve">作者:
</t>
        </r>
        <r>
          <rPr>
            <sz val="9"/>
            <rFont val="宋体"/>
            <charset val="134"/>
          </rPr>
          <t>请在下拉列表中选择填写内容！</t>
        </r>
      </text>
    </comment>
    <comment ref="I105" authorId="4">
      <text>
        <r>
          <rPr>
            <b/>
            <sz val="9"/>
            <rFont val="宋体"/>
            <charset val="134"/>
          </rPr>
          <t>作者:
直接填写数字！</t>
        </r>
        <r>
          <rPr>
            <sz val="9"/>
            <rFont val="宋体"/>
            <charset val="134"/>
          </rPr>
          <t>属“独立完成”不填写本栏目。</t>
        </r>
      </text>
    </comment>
    <comment ref="J105" authorId="0">
      <text>
        <r>
          <rPr>
            <b/>
            <sz val="9"/>
            <rFont val="宋体"/>
            <charset val="134"/>
          </rPr>
          <t>作者:
直接填写数字！</t>
        </r>
        <r>
          <rPr>
            <sz val="9"/>
            <rFont val="宋体"/>
            <charset val="134"/>
          </rPr>
          <t>属“独立完成”不填写本栏目。</t>
        </r>
      </text>
    </comment>
    <comment ref="K105" authorId="0">
      <text>
        <r>
          <rPr>
            <b/>
            <sz val="9"/>
            <rFont val="宋体"/>
            <charset val="134"/>
          </rPr>
          <t>作者:
只填写数字！请注意单位！</t>
        </r>
      </text>
    </comment>
    <comment ref="B106" authorId="0">
      <text>
        <r>
          <rPr>
            <b/>
            <sz val="9"/>
            <rFont val="宋体"/>
            <charset val="134"/>
          </rPr>
          <t>作者:</t>
        </r>
        <r>
          <rPr>
            <sz val="9"/>
            <rFont val="宋体"/>
            <charset val="134"/>
          </rPr>
          <t xml:space="preserve">
请在下拉列表中选择填写内容！</t>
        </r>
      </text>
    </comment>
    <comment ref="G106" authorId="0">
      <text>
        <r>
          <rPr>
            <b/>
            <sz val="9"/>
            <rFont val="宋体"/>
            <charset val="134"/>
          </rPr>
          <t>作者:</t>
        </r>
        <r>
          <rPr>
            <sz val="9"/>
            <rFont val="宋体"/>
            <charset val="134"/>
          </rPr>
          <t xml:space="preserve">
如：“辽宁省人民政府”,“辽宁省教育厅”,“教育部”等。</t>
        </r>
      </text>
    </comment>
    <comment ref="H106" authorId="3">
      <text>
        <r>
          <rPr>
            <b/>
            <sz val="9"/>
            <rFont val="宋体"/>
            <charset val="134"/>
          </rPr>
          <t xml:space="preserve">作者:
</t>
        </r>
        <r>
          <rPr>
            <sz val="9"/>
            <rFont val="宋体"/>
            <charset val="134"/>
          </rPr>
          <t>请在下拉列表中选择填写内容！</t>
        </r>
      </text>
    </comment>
    <comment ref="I106" authorId="4">
      <text>
        <r>
          <rPr>
            <b/>
            <sz val="9"/>
            <rFont val="宋体"/>
            <charset val="134"/>
          </rPr>
          <t>作者:
直接填写数字！</t>
        </r>
        <r>
          <rPr>
            <sz val="9"/>
            <rFont val="宋体"/>
            <charset val="134"/>
          </rPr>
          <t>属“独立完成”不填写本栏目。</t>
        </r>
      </text>
    </comment>
    <comment ref="J106" authorId="0">
      <text>
        <r>
          <rPr>
            <b/>
            <sz val="9"/>
            <rFont val="宋体"/>
            <charset val="134"/>
          </rPr>
          <t>作者:
直接填写数字！</t>
        </r>
        <r>
          <rPr>
            <sz val="9"/>
            <rFont val="宋体"/>
            <charset val="134"/>
          </rPr>
          <t>属“独立完成”不填写本栏目。</t>
        </r>
      </text>
    </comment>
    <comment ref="K106" authorId="0">
      <text>
        <r>
          <rPr>
            <b/>
            <sz val="9"/>
            <rFont val="宋体"/>
            <charset val="134"/>
          </rPr>
          <t>作者:
只填写数字！请注意单位！</t>
        </r>
      </text>
    </comment>
    <comment ref="B108" authorId="0">
      <text>
        <r>
          <rPr>
            <b/>
            <sz val="9"/>
            <rFont val="宋体"/>
            <charset val="134"/>
          </rPr>
          <t>作者:</t>
        </r>
        <r>
          <rPr>
            <sz val="9"/>
            <rFont val="宋体"/>
            <charset val="134"/>
          </rPr>
          <t xml:space="preserve">
请在下拉列表中选择填写内容！</t>
        </r>
      </text>
    </comment>
    <comment ref="G108" authorId="0">
      <text>
        <r>
          <rPr>
            <b/>
            <sz val="9"/>
            <rFont val="宋体"/>
            <charset val="134"/>
          </rPr>
          <t>作者:</t>
        </r>
        <r>
          <rPr>
            <sz val="9"/>
            <rFont val="宋体"/>
            <charset val="134"/>
          </rPr>
          <t xml:space="preserve">
如：“辽宁省人民政府”,“辽宁省教育厅”,“教育部”等。</t>
        </r>
      </text>
    </comment>
    <comment ref="H108" authorId="3">
      <text>
        <r>
          <rPr>
            <b/>
            <sz val="9"/>
            <rFont val="宋体"/>
            <charset val="134"/>
          </rPr>
          <t xml:space="preserve">作者:
</t>
        </r>
        <r>
          <rPr>
            <sz val="9"/>
            <rFont val="宋体"/>
            <charset val="134"/>
          </rPr>
          <t>请在下拉列表中选择填写内容！</t>
        </r>
      </text>
    </comment>
    <comment ref="I108" authorId="4">
      <text>
        <r>
          <rPr>
            <b/>
            <sz val="9"/>
            <rFont val="宋体"/>
            <charset val="134"/>
          </rPr>
          <t>作者:
直接填写数字！</t>
        </r>
        <r>
          <rPr>
            <sz val="9"/>
            <rFont val="宋体"/>
            <charset val="134"/>
          </rPr>
          <t>属“独立完成”不填写本栏目。</t>
        </r>
      </text>
    </comment>
    <comment ref="J108" authorId="0">
      <text>
        <r>
          <rPr>
            <b/>
            <sz val="9"/>
            <rFont val="宋体"/>
            <charset val="134"/>
          </rPr>
          <t>作者:
直接填写数字！</t>
        </r>
        <r>
          <rPr>
            <sz val="9"/>
            <rFont val="宋体"/>
            <charset val="134"/>
          </rPr>
          <t>属“独立完成”不填写本栏目。</t>
        </r>
      </text>
    </comment>
    <comment ref="K108" authorId="0">
      <text>
        <r>
          <rPr>
            <b/>
            <sz val="9"/>
            <rFont val="宋体"/>
            <charset val="134"/>
          </rPr>
          <t>作者:
只填写数字！请注意单位！</t>
        </r>
      </text>
    </comment>
    <comment ref="B112" authorId="0">
      <text>
        <r>
          <rPr>
            <b/>
            <sz val="9"/>
            <rFont val="宋体"/>
            <charset val="134"/>
          </rPr>
          <t>作者:</t>
        </r>
        <r>
          <rPr>
            <sz val="9"/>
            <rFont val="宋体"/>
            <charset val="134"/>
          </rPr>
          <t xml:space="preserve">
请在下拉列表中选择填写内容！</t>
        </r>
      </text>
    </comment>
    <comment ref="H112" authorId="3">
      <text>
        <r>
          <rPr>
            <b/>
            <sz val="9"/>
            <rFont val="宋体"/>
            <charset val="134"/>
          </rPr>
          <t xml:space="preserve">作者:
</t>
        </r>
        <r>
          <rPr>
            <sz val="9"/>
            <rFont val="宋体"/>
            <charset val="134"/>
          </rPr>
          <t>请在下拉列表中选择填写内容！</t>
        </r>
      </text>
    </comment>
    <comment ref="I112" authorId="4">
      <text>
        <r>
          <rPr>
            <b/>
            <sz val="9"/>
            <rFont val="宋体"/>
            <charset val="134"/>
          </rPr>
          <t>作者:
直接填写数字！</t>
        </r>
        <r>
          <rPr>
            <sz val="9"/>
            <rFont val="宋体"/>
            <charset val="134"/>
          </rPr>
          <t>属“独立完成”不填写本栏目。</t>
        </r>
      </text>
    </comment>
    <comment ref="J112" authorId="0">
      <text>
        <r>
          <rPr>
            <b/>
            <sz val="9"/>
            <rFont val="宋体"/>
            <charset val="134"/>
          </rPr>
          <t>作者:
直接填写数字！</t>
        </r>
        <r>
          <rPr>
            <sz val="9"/>
            <rFont val="宋体"/>
            <charset val="134"/>
          </rPr>
          <t>属“独立完成”不填写本栏目。</t>
        </r>
      </text>
    </comment>
    <comment ref="K112" authorId="0">
      <text>
        <r>
          <rPr>
            <b/>
            <sz val="9"/>
            <rFont val="宋体"/>
            <charset val="134"/>
          </rPr>
          <t>作者:
只填写数字！请注意单位！</t>
        </r>
      </text>
    </comment>
    <comment ref="B117" authorId="0">
      <text>
        <r>
          <rPr>
            <b/>
            <sz val="9"/>
            <rFont val="宋体"/>
            <charset val="134"/>
          </rPr>
          <t>作者:</t>
        </r>
        <r>
          <rPr>
            <sz val="9"/>
            <rFont val="宋体"/>
            <charset val="134"/>
          </rPr>
          <t xml:space="preserve">
请在下拉列表中选择填写内容！</t>
        </r>
      </text>
    </comment>
    <comment ref="I117"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17" authorId="0">
      <text>
        <r>
          <rPr>
            <b/>
            <sz val="9"/>
            <rFont val="宋体"/>
            <charset val="134"/>
          </rPr>
          <t>作者:
只填写数字！请注意单位！</t>
        </r>
      </text>
    </comment>
    <comment ref="K117" authorId="0">
      <text>
        <r>
          <rPr>
            <b/>
            <sz val="9"/>
            <rFont val="宋体"/>
            <charset val="134"/>
          </rPr>
          <t xml:space="preserve">作者:
</t>
        </r>
        <r>
          <rPr>
            <sz val="9"/>
            <rFont val="宋体"/>
            <charset val="134"/>
          </rPr>
          <t>请在下拉列表中选择填写内容！</t>
        </r>
      </text>
    </comment>
    <comment ref="B118" authorId="0">
      <text>
        <r>
          <rPr>
            <b/>
            <sz val="9"/>
            <rFont val="宋体"/>
            <charset val="134"/>
          </rPr>
          <t>作者:</t>
        </r>
        <r>
          <rPr>
            <sz val="9"/>
            <rFont val="宋体"/>
            <charset val="134"/>
          </rPr>
          <t xml:space="preserve">
请在下拉列表中选择填写内容！</t>
        </r>
      </text>
    </comment>
    <comment ref="I118"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18" authorId="0">
      <text>
        <r>
          <rPr>
            <b/>
            <sz val="9"/>
            <rFont val="宋体"/>
            <charset val="134"/>
          </rPr>
          <t>作者:
只填写数字！请注意单位！</t>
        </r>
      </text>
    </comment>
    <comment ref="K118" authorId="0">
      <text>
        <r>
          <rPr>
            <b/>
            <sz val="9"/>
            <rFont val="宋体"/>
            <charset val="134"/>
          </rPr>
          <t xml:space="preserve">作者:
</t>
        </r>
        <r>
          <rPr>
            <sz val="9"/>
            <rFont val="宋体"/>
            <charset val="134"/>
          </rPr>
          <t>请在下拉列表中选择填写内容！</t>
        </r>
      </text>
    </comment>
    <comment ref="B122" authorId="0">
      <text>
        <r>
          <rPr>
            <b/>
            <sz val="9"/>
            <rFont val="宋体"/>
            <charset val="134"/>
          </rPr>
          <t>作者:</t>
        </r>
        <r>
          <rPr>
            <sz val="9"/>
            <rFont val="宋体"/>
            <charset val="134"/>
          </rPr>
          <t xml:space="preserve">
请在下拉列表中选择填写内容！</t>
        </r>
      </text>
    </comment>
    <comment ref="C122" authorId="0">
      <text>
        <r>
          <rPr>
            <b/>
            <sz val="9"/>
            <rFont val="宋体"/>
            <charset val="134"/>
          </rPr>
          <t>作者:</t>
        </r>
        <r>
          <rPr>
            <sz val="9"/>
            <rFont val="宋体"/>
            <charset val="134"/>
          </rPr>
          <t xml:space="preserve">
请在下拉列表中选择填写内容！</t>
        </r>
      </text>
    </comment>
    <comment ref="G122" authorId="1">
      <text>
        <r>
          <rPr>
            <b/>
            <sz val="9"/>
            <rFont val="宋体"/>
            <charset val="134"/>
          </rPr>
          <t>admin:</t>
        </r>
        <r>
          <rPr>
            <sz val="9"/>
            <rFont val="宋体"/>
            <charset val="134"/>
          </rPr>
          <t xml:space="preserve">
作者:
如：“辽宁省人民政府”,“辽宁省教育厅”,“教育部”等。
</t>
        </r>
      </text>
    </comment>
    <comment ref="I122" authorId="3">
      <text>
        <r>
          <rPr>
            <b/>
            <sz val="9"/>
            <rFont val="宋体"/>
            <charset val="134"/>
          </rPr>
          <t xml:space="preserve">作者:
</t>
        </r>
        <r>
          <rPr>
            <sz val="9"/>
            <rFont val="宋体"/>
            <charset val="134"/>
          </rPr>
          <t>请在下拉列表中选择填写内容！</t>
        </r>
      </text>
    </comment>
    <comment ref="J122" authorId="4">
      <text>
        <r>
          <rPr>
            <b/>
            <sz val="9"/>
            <rFont val="宋体"/>
            <charset val="134"/>
          </rPr>
          <t>作者:
直接填写数字！</t>
        </r>
        <r>
          <rPr>
            <sz val="9"/>
            <rFont val="宋体"/>
            <charset val="134"/>
          </rPr>
          <t>属“独立完成”不填写本栏目。</t>
        </r>
      </text>
    </comment>
    <comment ref="K122" authorId="0">
      <text>
        <r>
          <rPr>
            <b/>
            <sz val="9"/>
            <rFont val="宋体"/>
            <charset val="134"/>
          </rPr>
          <t>作者:
直接填写数字！</t>
        </r>
        <r>
          <rPr>
            <sz val="9"/>
            <rFont val="宋体"/>
            <charset val="134"/>
          </rPr>
          <t>属“独立完成”不填写本栏目。</t>
        </r>
      </text>
    </comment>
    <comment ref="B123" authorId="0">
      <text>
        <r>
          <rPr>
            <b/>
            <sz val="9"/>
            <rFont val="宋体"/>
            <charset val="134"/>
          </rPr>
          <t>作者:</t>
        </r>
        <r>
          <rPr>
            <sz val="9"/>
            <rFont val="宋体"/>
            <charset val="134"/>
          </rPr>
          <t xml:space="preserve">
请在下拉列表中选择填写内容！</t>
        </r>
      </text>
    </comment>
    <comment ref="C123" authorId="0">
      <text>
        <r>
          <rPr>
            <b/>
            <sz val="9"/>
            <rFont val="宋体"/>
            <charset val="134"/>
          </rPr>
          <t>作者:</t>
        </r>
        <r>
          <rPr>
            <sz val="9"/>
            <rFont val="宋体"/>
            <charset val="134"/>
          </rPr>
          <t xml:space="preserve">
请在下拉列表中选择填写内容！</t>
        </r>
      </text>
    </comment>
    <comment ref="G123" authorId="1">
      <text>
        <r>
          <rPr>
            <b/>
            <sz val="9"/>
            <rFont val="宋体"/>
            <charset val="134"/>
          </rPr>
          <t>admin:</t>
        </r>
        <r>
          <rPr>
            <sz val="9"/>
            <rFont val="宋体"/>
            <charset val="134"/>
          </rPr>
          <t xml:space="preserve">
作者:
如：“辽宁省人民政府”,“辽宁省教育厅”,“教育部”等。</t>
        </r>
      </text>
    </comment>
    <comment ref="I123" authorId="3">
      <text>
        <r>
          <rPr>
            <b/>
            <sz val="9"/>
            <rFont val="宋体"/>
            <charset val="134"/>
          </rPr>
          <t xml:space="preserve">作者:
</t>
        </r>
        <r>
          <rPr>
            <sz val="9"/>
            <rFont val="宋体"/>
            <charset val="134"/>
          </rPr>
          <t>请在下拉列表中选择填写内容！</t>
        </r>
      </text>
    </comment>
    <comment ref="J123" authorId="4">
      <text>
        <r>
          <rPr>
            <b/>
            <sz val="9"/>
            <rFont val="宋体"/>
            <charset val="134"/>
          </rPr>
          <t>作者:
直接填写数字！</t>
        </r>
        <r>
          <rPr>
            <sz val="9"/>
            <rFont val="宋体"/>
            <charset val="134"/>
          </rPr>
          <t>属“独立完成”不填写本栏目。</t>
        </r>
      </text>
    </comment>
    <comment ref="K123" authorId="0">
      <text>
        <r>
          <rPr>
            <b/>
            <sz val="9"/>
            <rFont val="宋体"/>
            <charset val="134"/>
          </rPr>
          <t>作者:
直接填写数字！</t>
        </r>
        <r>
          <rPr>
            <sz val="9"/>
            <rFont val="宋体"/>
            <charset val="134"/>
          </rPr>
          <t>属“独立完成”不填写本栏目。</t>
        </r>
      </text>
    </comment>
    <comment ref="B127" authorId="0">
      <text>
        <r>
          <rPr>
            <b/>
            <sz val="9"/>
            <rFont val="宋体"/>
            <charset val="134"/>
          </rPr>
          <t>作者:</t>
        </r>
        <r>
          <rPr>
            <sz val="9"/>
            <rFont val="宋体"/>
            <charset val="134"/>
          </rPr>
          <t xml:space="preserve">
请在下拉列表中选择填写内容！</t>
        </r>
      </text>
    </comment>
    <comment ref="C127" authorId="2">
      <text>
        <r>
          <rPr>
            <b/>
            <sz val="9"/>
            <rFont val="宋体"/>
            <charset val="134"/>
          </rPr>
          <t>Admin:</t>
        </r>
        <r>
          <rPr>
            <sz val="9"/>
            <rFont val="宋体"/>
            <charset val="134"/>
          </rPr>
          <t xml:space="preserve">
请在下拉列表中选择填写内容！
</t>
        </r>
      </text>
    </comment>
    <comment ref="G127" authorId="1">
      <text>
        <r>
          <rPr>
            <b/>
            <sz val="9"/>
            <rFont val="宋体"/>
            <charset val="134"/>
          </rPr>
          <t>admin:</t>
        </r>
        <r>
          <rPr>
            <sz val="9"/>
            <rFont val="宋体"/>
            <charset val="134"/>
          </rPr>
          <t xml:space="preserve">
请在下拉列表中选择填写内容！
</t>
        </r>
      </text>
    </comment>
    <comment ref="B128" authorId="0">
      <text>
        <r>
          <rPr>
            <b/>
            <sz val="9"/>
            <rFont val="宋体"/>
            <charset val="134"/>
          </rPr>
          <t>作者:</t>
        </r>
        <r>
          <rPr>
            <sz val="9"/>
            <rFont val="宋体"/>
            <charset val="134"/>
          </rPr>
          <t xml:space="preserve">
请在下拉列表中选择填写内容！“示范专业”请选择“品牌专业”。</t>
        </r>
      </text>
    </comment>
    <comment ref="C128" authorId="2">
      <text>
        <r>
          <rPr>
            <b/>
            <sz val="9"/>
            <rFont val="宋体"/>
            <charset val="134"/>
          </rPr>
          <t>Admin:</t>
        </r>
        <r>
          <rPr>
            <sz val="9"/>
            <rFont val="宋体"/>
            <charset val="134"/>
          </rPr>
          <t xml:space="preserve">
请在下拉列表中选择填写内容！
</t>
        </r>
      </text>
    </comment>
    <comment ref="B132" authorId="2">
      <text>
        <r>
          <rPr>
            <b/>
            <sz val="9"/>
            <rFont val="宋体"/>
            <charset val="134"/>
          </rPr>
          <t>Admin:</t>
        </r>
        <r>
          <rPr>
            <sz val="9"/>
            <rFont val="宋体"/>
            <charset val="134"/>
          </rPr>
          <t xml:space="preserve">
请在下拉列表中选择填写内容！
</t>
        </r>
      </text>
    </comment>
    <comment ref="C132" authorId="0">
      <text>
        <r>
          <rPr>
            <b/>
            <sz val="9"/>
            <rFont val="宋体"/>
            <charset val="134"/>
          </rPr>
          <t>作者:</t>
        </r>
        <r>
          <rPr>
            <sz val="9"/>
            <rFont val="宋体"/>
            <charset val="134"/>
          </rPr>
          <t xml:space="preserve">
请在下拉列表中选择填写内容！</t>
        </r>
      </text>
    </comment>
    <comment ref="H132" authorId="1">
      <text>
        <r>
          <rPr>
            <b/>
            <sz val="9"/>
            <rFont val="宋体"/>
            <charset val="134"/>
          </rPr>
          <t>admin:</t>
        </r>
        <r>
          <rPr>
            <sz val="9"/>
            <rFont val="宋体"/>
            <charset val="134"/>
          </rPr>
          <t xml:space="preserve">
请规范填写时间！格式为“1999年10月”
</t>
        </r>
      </text>
    </comment>
    <comment ref="I132" authorId="3">
      <text>
        <r>
          <rPr>
            <b/>
            <sz val="9"/>
            <rFont val="宋体"/>
            <charset val="134"/>
          </rPr>
          <t xml:space="preserve">作者:
</t>
        </r>
        <r>
          <rPr>
            <sz val="9"/>
            <rFont val="宋体"/>
            <charset val="134"/>
          </rPr>
          <t>请在下拉列表中选择填写内容！</t>
        </r>
      </text>
    </comment>
    <comment ref="J132" authorId="0">
      <text>
        <r>
          <rPr>
            <b/>
            <sz val="9"/>
            <rFont val="宋体"/>
            <charset val="134"/>
          </rPr>
          <t>作者:
直接填写数字！</t>
        </r>
        <r>
          <rPr>
            <sz val="9"/>
            <rFont val="宋体"/>
            <charset val="134"/>
          </rPr>
          <t>属“独立完成”不填写本栏目。</t>
        </r>
      </text>
    </comment>
    <comment ref="K132" authorId="0">
      <text>
        <r>
          <rPr>
            <b/>
            <sz val="9"/>
            <rFont val="宋体"/>
            <charset val="134"/>
          </rPr>
          <t>作者:
直接填写数字！</t>
        </r>
        <r>
          <rPr>
            <sz val="9"/>
            <rFont val="宋体"/>
            <charset val="134"/>
          </rPr>
          <t>属“独立完成”不填写本栏目。</t>
        </r>
      </text>
    </comment>
    <comment ref="B133" authorId="2">
      <text>
        <r>
          <rPr>
            <b/>
            <sz val="9"/>
            <rFont val="宋体"/>
            <charset val="134"/>
          </rPr>
          <t>Admin:</t>
        </r>
        <r>
          <rPr>
            <sz val="9"/>
            <rFont val="宋体"/>
            <charset val="134"/>
          </rPr>
          <t xml:space="preserve">
请在下拉列表中选择填写内容！
</t>
        </r>
      </text>
    </comment>
    <comment ref="C133" authorId="0">
      <text>
        <r>
          <rPr>
            <b/>
            <sz val="9"/>
            <rFont val="宋体"/>
            <charset val="134"/>
          </rPr>
          <t>作者:</t>
        </r>
        <r>
          <rPr>
            <sz val="9"/>
            <rFont val="宋体"/>
            <charset val="134"/>
          </rPr>
          <t xml:space="preserve">
请在下拉列表中选择填写内容！</t>
        </r>
      </text>
    </comment>
    <comment ref="I133" authorId="3">
      <text>
        <r>
          <rPr>
            <b/>
            <sz val="9"/>
            <rFont val="宋体"/>
            <charset val="134"/>
          </rPr>
          <t xml:space="preserve">作者:
</t>
        </r>
        <r>
          <rPr>
            <sz val="9"/>
            <rFont val="宋体"/>
            <charset val="134"/>
          </rPr>
          <t>请在下拉列表中选择填写内容！</t>
        </r>
      </text>
    </comment>
    <comment ref="J133" authorId="0">
      <text>
        <r>
          <rPr>
            <b/>
            <sz val="9"/>
            <rFont val="宋体"/>
            <charset val="134"/>
          </rPr>
          <t>作者:
直接填写数字！</t>
        </r>
        <r>
          <rPr>
            <sz val="9"/>
            <rFont val="宋体"/>
            <charset val="134"/>
          </rPr>
          <t>属“独立完成”不填写本栏目。</t>
        </r>
      </text>
    </comment>
    <comment ref="K133" authorId="0">
      <text>
        <r>
          <rPr>
            <b/>
            <sz val="9"/>
            <rFont val="宋体"/>
            <charset val="134"/>
          </rPr>
          <t>作者:
直接填写数字！</t>
        </r>
        <r>
          <rPr>
            <sz val="9"/>
            <rFont val="宋体"/>
            <charset val="134"/>
          </rPr>
          <t>属“独立完成”不填写本栏目。</t>
        </r>
      </text>
    </comment>
    <comment ref="B138" authorId="0">
      <text>
        <r>
          <rPr>
            <b/>
            <sz val="9"/>
            <rFont val="宋体"/>
            <charset val="134"/>
          </rPr>
          <t>作者:</t>
        </r>
        <r>
          <rPr>
            <sz val="9"/>
            <rFont val="宋体"/>
            <charset val="134"/>
          </rPr>
          <t xml:space="preserve">
请在下拉列表中选择填写内容！</t>
        </r>
      </text>
    </comment>
    <comment ref="C138" authorId="0">
      <text>
        <r>
          <rPr>
            <b/>
            <sz val="9"/>
            <rFont val="宋体"/>
            <charset val="134"/>
          </rPr>
          <t>作者:</t>
        </r>
        <r>
          <rPr>
            <sz val="9"/>
            <rFont val="宋体"/>
            <charset val="134"/>
          </rPr>
          <t xml:space="preserve">
请在下拉列表中选择填写内容！</t>
        </r>
      </text>
    </comment>
    <comment ref="E138" authorId="1">
      <text>
        <r>
          <rPr>
            <b/>
            <sz val="9"/>
            <rFont val="宋体"/>
            <charset val="134"/>
          </rPr>
          <t>admin:</t>
        </r>
        <r>
          <rPr>
            <sz val="9"/>
            <rFont val="宋体"/>
            <charset val="134"/>
          </rPr>
          <t xml:space="preserve">
请在下拉列表中选择填写内容！
</t>
        </r>
      </text>
    </comment>
    <comment ref="I138" authorId="3">
      <text>
        <r>
          <rPr>
            <b/>
            <sz val="9"/>
            <rFont val="宋体"/>
            <charset val="134"/>
          </rPr>
          <t xml:space="preserve">作者:
</t>
        </r>
        <r>
          <rPr>
            <sz val="9"/>
            <rFont val="宋体"/>
            <charset val="134"/>
          </rPr>
          <t>请在下拉列表中选择填写内容！</t>
        </r>
      </text>
    </comment>
    <comment ref="K138" authorId="1">
      <text>
        <r>
          <rPr>
            <b/>
            <sz val="9"/>
            <rFont val="宋体"/>
            <charset val="134"/>
          </rPr>
          <t>admin:</t>
        </r>
        <r>
          <rPr>
            <sz val="9"/>
            <rFont val="宋体"/>
            <charset val="134"/>
          </rPr>
          <t xml:space="preserve">
请规范填写时间！格式为“1999年10月”</t>
        </r>
      </text>
    </comment>
    <comment ref="B139" authorId="0">
      <text>
        <r>
          <rPr>
            <b/>
            <sz val="9"/>
            <rFont val="宋体"/>
            <charset val="134"/>
          </rPr>
          <t>作者:</t>
        </r>
        <r>
          <rPr>
            <sz val="9"/>
            <rFont val="宋体"/>
            <charset val="134"/>
          </rPr>
          <t xml:space="preserve">
请在下拉列表中选择填写内容！</t>
        </r>
      </text>
    </comment>
    <comment ref="C139" authorId="0">
      <text>
        <r>
          <rPr>
            <b/>
            <sz val="9"/>
            <rFont val="宋体"/>
            <charset val="134"/>
          </rPr>
          <t>作者:</t>
        </r>
        <r>
          <rPr>
            <sz val="9"/>
            <rFont val="宋体"/>
            <charset val="134"/>
          </rPr>
          <t xml:space="preserve">
请在下拉列表中选择填写内容！</t>
        </r>
      </text>
    </comment>
    <comment ref="B143" authorId="2">
      <text>
        <r>
          <rPr>
            <b/>
            <sz val="9"/>
            <rFont val="宋体"/>
            <charset val="134"/>
          </rPr>
          <t>Admin:</t>
        </r>
        <r>
          <rPr>
            <sz val="9"/>
            <rFont val="宋体"/>
            <charset val="134"/>
          </rPr>
          <t xml:space="preserve">
请在下拉列表中选择填写内容！
</t>
        </r>
      </text>
    </comment>
    <comment ref="C143" authorId="0">
      <text>
        <r>
          <rPr>
            <b/>
            <sz val="9"/>
            <rFont val="宋体"/>
            <charset val="134"/>
          </rPr>
          <t>作者:</t>
        </r>
        <r>
          <rPr>
            <sz val="9"/>
            <rFont val="宋体"/>
            <charset val="134"/>
          </rPr>
          <t xml:space="preserve">
请在下拉列表中选择填写内容！</t>
        </r>
      </text>
    </comment>
    <comment ref="I143" authorId="1">
      <text>
        <r>
          <rPr>
            <b/>
            <sz val="9"/>
            <rFont val="宋体"/>
            <charset val="134"/>
          </rPr>
          <t>admin:</t>
        </r>
        <r>
          <rPr>
            <sz val="9"/>
            <rFont val="宋体"/>
            <charset val="134"/>
          </rPr>
          <t xml:space="preserve">
请规范填写时间！格式为“1999年10月”</t>
        </r>
      </text>
    </comment>
    <comment ref="J143" authorId="3">
      <text>
        <r>
          <rPr>
            <b/>
            <sz val="9"/>
            <rFont val="宋体"/>
            <charset val="134"/>
          </rPr>
          <t xml:space="preserve">作者:
</t>
        </r>
        <r>
          <rPr>
            <sz val="9"/>
            <rFont val="宋体"/>
            <charset val="134"/>
          </rPr>
          <t>请在下拉列表中选择填写内容！</t>
        </r>
      </text>
    </comment>
    <comment ref="K143" authorId="0">
      <text>
        <r>
          <rPr>
            <b/>
            <sz val="9"/>
            <rFont val="宋体"/>
            <charset val="134"/>
          </rPr>
          <t>作者:
直接填写数字！</t>
        </r>
        <r>
          <rPr>
            <sz val="9"/>
            <rFont val="宋体"/>
            <charset val="134"/>
          </rPr>
          <t>属“独立完成”不填写本栏目。</t>
        </r>
      </text>
    </comment>
    <comment ref="B144" authorId="2">
      <text>
        <r>
          <rPr>
            <b/>
            <sz val="9"/>
            <rFont val="宋体"/>
            <charset val="134"/>
          </rPr>
          <t>Admin:</t>
        </r>
        <r>
          <rPr>
            <sz val="9"/>
            <rFont val="宋体"/>
            <charset val="134"/>
          </rPr>
          <t xml:space="preserve">
请在下拉列表中选择填写内容！
</t>
        </r>
      </text>
    </comment>
    <comment ref="C144" authorId="0">
      <text>
        <r>
          <rPr>
            <b/>
            <sz val="9"/>
            <rFont val="宋体"/>
            <charset val="134"/>
          </rPr>
          <t>作者:</t>
        </r>
        <r>
          <rPr>
            <sz val="9"/>
            <rFont val="宋体"/>
            <charset val="134"/>
          </rPr>
          <t xml:space="preserve">
请在下拉列表中选择填写内容！</t>
        </r>
      </text>
    </comment>
    <comment ref="J144" authorId="3">
      <text>
        <r>
          <rPr>
            <b/>
            <sz val="9"/>
            <rFont val="宋体"/>
            <charset val="134"/>
          </rPr>
          <t xml:space="preserve">作者:
</t>
        </r>
        <r>
          <rPr>
            <sz val="9"/>
            <rFont val="宋体"/>
            <charset val="134"/>
          </rPr>
          <t>请在下拉列表中选择填写内容！</t>
        </r>
      </text>
    </comment>
    <comment ref="K144" authorId="0">
      <text>
        <r>
          <rPr>
            <b/>
            <sz val="9"/>
            <rFont val="宋体"/>
            <charset val="134"/>
          </rPr>
          <t>作者:
直接填写数字！</t>
        </r>
        <r>
          <rPr>
            <sz val="9"/>
            <rFont val="宋体"/>
            <charset val="134"/>
          </rPr>
          <t>属“独立完成”不填写本栏目。</t>
        </r>
      </text>
    </comment>
    <comment ref="B148" authorId="0">
      <text>
        <r>
          <rPr>
            <b/>
            <sz val="9"/>
            <rFont val="宋体"/>
            <charset val="134"/>
          </rPr>
          <t>作者:</t>
        </r>
        <r>
          <rPr>
            <sz val="9"/>
            <rFont val="宋体"/>
            <charset val="134"/>
          </rPr>
          <t xml:space="preserve">
请在下拉列表中选择填写内容！</t>
        </r>
      </text>
    </comment>
    <comment ref="C148" authorId="2">
      <text>
        <r>
          <rPr>
            <b/>
            <sz val="9"/>
            <rFont val="宋体"/>
            <charset val="134"/>
          </rPr>
          <t>Admin:</t>
        </r>
        <r>
          <rPr>
            <sz val="9"/>
            <rFont val="宋体"/>
            <charset val="134"/>
          </rPr>
          <t xml:space="preserve">
请在下拉列表中选择填写内容！
</t>
        </r>
      </text>
    </comment>
    <comment ref="E148" authorId="0">
      <text>
        <r>
          <rPr>
            <b/>
            <sz val="9"/>
            <rFont val="宋体"/>
            <charset val="134"/>
          </rPr>
          <t>作者:</t>
        </r>
        <r>
          <rPr>
            <sz val="9"/>
            <rFont val="宋体"/>
            <charset val="134"/>
          </rPr>
          <t xml:space="preserve">
请在下拉列表中选择填写内容！</t>
        </r>
      </text>
    </comment>
    <comment ref="I148" authorId="3">
      <text>
        <r>
          <rPr>
            <b/>
            <sz val="9"/>
            <rFont val="宋体"/>
            <charset val="134"/>
          </rPr>
          <t xml:space="preserve">作者:
</t>
        </r>
        <r>
          <rPr>
            <sz val="9"/>
            <rFont val="宋体"/>
            <charset val="134"/>
          </rPr>
          <t>请在下拉列表中选择填写内容！</t>
        </r>
      </text>
    </comment>
    <comment ref="J148" authorId="0">
      <text>
        <r>
          <rPr>
            <b/>
            <sz val="9"/>
            <rFont val="宋体"/>
            <charset val="134"/>
          </rPr>
          <t>作者:
直接填写数字！</t>
        </r>
        <r>
          <rPr>
            <sz val="9"/>
            <rFont val="宋体"/>
            <charset val="134"/>
          </rPr>
          <t>属“独立完成”不填写本栏目。</t>
        </r>
      </text>
    </comment>
    <comment ref="K148" authorId="0">
      <text>
        <r>
          <rPr>
            <b/>
            <sz val="9"/>
            <rFont val="宋体"/>
            <charset val="134"/>
          </rPr>
          <t>作者:
直接填写数字！</t>
        </r>
        <r>
          <rPr>
            <sz val="9"/>
            <rFont val="宋体"/>
            <charset val="134"/>
          </rPr>
          <t>属“独立完成”不填写本栏目。</t>
        </r>
      </text>
    </comment>
    <comment ref="B149" authorId="0">
      <text>
        <r>
          <rPr>
            <b/>
            <sz val="9"/>
            <rFont val="宋体"/>
            <charset val="134"/>
          </rPr>
          <t>作者:</t>
        </r>
        <r>
          <rPr>
            <sz val="9"/>
            <rFont val="宋体"/>
            <charset val="134"/>
          </rPr>
          <t xml:space="preserve">
请在下拉列表中选择填写内容！“示范专业”请选择“品牌专业”。</t>
        </r>
      </text>
    </comment>
    <comment ref="C149" authorId="2">
      <text>
        <r>
          <rPr>
            <b/>
            <sz val="9"/>
            <rFont val="宋体"/>
            <charset val="134"/>
          </rPr>
          <t>Admin:</t>
        </r>
        <r>
          <rPr>
            <sz val="9"/>
            <rFont val="宋体"/>
            <charset val="134"/>
          </rPr>
          <t xml:space="preserve">
请在下拉列表中选择填写内容！
</t>
        </r>
      </text>
    </comment>
    <comment ref="E149" authorId="0">
      <text>
        <r>
          <rPr>
            <b/>
            <sz val="9"/>
            <rFont val="宋体"/>
            <charset val="134"/>
          </rPr>
          <t>作者:</t>
        </r>
        <r>
          <rPr>
            <sz val="9"/>
            <rFont val="宋体"/>
            <charset val="134"/>
          </rPr>
          <t xml:space="preserve">
请在下拉列表中选择填写内容！</t>
        </r>
      </text>
    </comment>
    <comment ref="I149" authorId="3">
      <text>
        <r>
          <rPr>
            <b/>
            <sz val="9"/>
            <rFont val="宋体"/>
            <charset val="134"/>
          </rPr>
          <t xml:space="preserve">作者:
</t>
        </r>
        <r>
          <rPr>
            <sz val="9"/>
            <rFont val="宋体"/>
            <charset val="134"/>
          </rPr>
          <t>请在下拉列表中选择填写内容！</t>
        </r>
      </text>
    </comment>
    <comment ref="J149" authorId="0">
      <text>
        <r>
          <rPr>
            <b/>
            <sz val="9"/>
            <rFont val="宋体"/>
            <charset val="134"/>
          </rPr>
          <t>作者:
直接填写数字！</t>
        </r>
        <r>
          <rPr>
            <sz val="9"/>
            <rFont val="宋体"/>
            <charset val="134"/>
          </rPr>
          <t>属“独立完成”不填写本栏目。</t>
        </r>
      </text>
    </comment>
    <comment ref="K149" authorId="0">
      <text>
        <r>
          <rPr>
            <b/>
            <sz val="9"/>
            <rFont val="宋体"/>
            <charset val="134"/>
          </rPr>
          <t>作者:
直接填写数字！</t>
        </r>
        <r>
          <rPr>
            <sz val="9"/>
            <rFont val="宋体"/>
            <charset val="134"/>
          </rPr>
          <t>属“独立完成”不填写本栏目。</t>
        </r>
      </text>
    </comment>
    <comment ref="K154" authorId="1">
      <text>
        <r>
          <rPr>
            <b/>
            <sz val="9"/>
            <rFont val="宋体"/>
            <charset val="134"/>
          </rPr>
          <t>admin:</t>
        </r>
        <r>
          <rPr>
            <sz val="9"/>
            <rFont val="宋体"/>
            <charset val="134"/>
          </rPr>
          <t xml:space="preserve">
请规范填写时间！格式为“1999年10月”
</t>
        </r>
      </text>
    </comment>
    <comment ref="C160" authorId="1">
      <text>
        <r>
          <rPr>
            <b/>
            <sz val="9"/>
            <rFont val="宋体"/>
            <charset val="134"/>
          </rPr>
          <t>admin:</t>
        </r>
        <r>
          <rPr>
            <sz val="9"/>
            <rFont val="宋体"/>
            <charset val="134"/>
          </rPr>
          <t xml:space="preserve">
填写班级全程，如：
2019级学前教育1班</t>
        </r>
      </text>
    </comment>
    <comment ref="H160" authorId="1">
      <text>
        <r>
          <rPr>
            <b/>
            <sz val="9"/>
            <rFont val="宋体"/>
            <charset val="134"/>
          </rPr>
          <t>admin:</t>
        </r>
        <r>
          <rPr>
            <sz val="9"/>
            <rFont val="宋体"/>
            <charset val="134"/>
          </rPr>
          <t xml:space="preserve">
填写格式例：
2012年09-2014年8月。</t>
        </r>
      </text>
    </comment>
    <comment ref="H161" authorId="1">
      <text>
        <r>
          <rPr>
            <b/>
            <sz val="9"/>
            <rFont val="宋体"/>
            <charset val="134"/>
          </rPr>
          <t>admin:</t>
        </r>
        <r>
          <rPr>
            <sz val="9"/>
            <rFont val="宋体"/>
            <charset val="134"/>
          </rPr>
          <t xml:space="preserve">
填写格式例：
2012年09-2014年8月。</t>
        </r>
      </text>
    </comment>
    <comment ref="B164" authorId="0">
      <text>
        <r>
          <rPr>
            <b/>
            <sz val="9"/>
            <rFont val="宋体"/>
            <charset val="134"/>
          </rPr>
          <t>作者:</t>
        </r>
        <r>
          <rPr>
            <sz val="9"/>
            <rFont val="宋体"/>
            <charset val="134"/>
          </rPr>
          <t xml:space="preserve">
请在下拉列表中选择填写内容！</t>
        </r>
      </text>
    </comment>
    <comment ref="E164" authorId="0">
      <text>
        <r>
          <rPr>
            <b/>
            <sz val="9"/>
            <rFont val="宋体"/>
            <charset val="134"/>
          </rPr>
          <t>作者:</t>
        </r>
        <r>
          <rPr>
            <sz val="9"/>
            <rFont val="宋体"/>
            <charset val="134"/>
          </rPr>
          <t xml:space="preserve">
请在下拉列表中选择填写内容！</t>
        </r>
      </text>
    </comment>
    <comment ref="K164" authorId="1">
      <text>
        <r>
          <rPr>
            <b/>
            <sz val="9"/>
            <rFont val="宋体"/>
            <charset val="134"/>
          </rPr>
          <t>admin:</t>
        </r>
        <r>
          <rPr>
            <sz val="9"/>
            <rFont val="宋体"/>
            <charset val="134"/>
          </rPr>
          <t xml:space="preserve">
请规范填写时间！格式为“1999年10月-2000年7月”</t>
        </r>
      </text>
    </comment>
    <comment ref="B168" authorId="0">
      <text>
        <r>
          <rPr>
            <b/>
            <sz val="9"/>
            <rFont val="宋体"/>
            <charset val="134"/>
          </rPr>
          <t>作者:</t>
        </r>
        <r>
          <rPr>
            <sz val="9"/>
            <rFont val="宋体"/>
            <charset val="134"/>
          </rPr>
          <t xml:space="preserve">
请在下拉列表中选择填写内容！</t>
        </r>
      </text>
    </comment>
    <comment ref="C168" authorId="0">
      <text>
        <r>
          <rPr>
            <b/>
            <sz val="9"/>
            <rFont val="宋体"/>
            <charset val="134"/>
          </rPr>
          <t>作者:</t>
        </r>
        <r>
          <rPr>
            <sz val="9"/>
            <rFont val="宋体"/>
            <charset val="134"/>
          </rPr>
          <t xml:space="preserve">
请在下拉列表中选择填写内容！</t>
        </r>
      </text>
    </comment>
    <comment ref="E168" authorId="1">
      <text>
        <r>
          <rPr>
            <b/>
            <sz val="9"/>
            <rFont val="宋体"/>
            <charset val="134"/>
          </rPr>
          <t>admin:</t>
        </r>
        <r>
          <rPr>
            <sz val="9"/>
            <rFont val="宋体"/>
            <charset val="134"/>
          </rPr>
          <t xml:space="preserve">
请规范填写时间！格式为“1999年10月”
</t>
        </r>
      </text>
    </comment>
    <comment ref="I168" authorId="3">
      <text>
        <r>
          <rPr>
            <b/>
            <sz val="9"/>
            <rFont val="宋体"/>
            <charset val="134"/>
          </rPr>
          <t xml:space="preserve">作者:
</t>
        </r>
        <r>
          <rPr>
            <sz val="9"/>
            <rFont val="宋体"/>
            <charset val="134"/>
          </rPr>
          <t>请在下拉列表中选择填写内容！</t>
        </r>
      </text>
    </comment>
    <comment ref="B169" authorId="0">
      <text>
        <r>
          <rPr>
            <b/>
            <sz val="9"/>
            <rFont val="宋体"/>
            <charset val="134"/>
          </rPr>
          <t>作者:</t>
        </r>
        <r>
          <rPr>
            <sz val="9"/>
            <rFont val="宋体"/>
            <charset val="134"/>
          </rPr>
          <t xml:space="preserve">
请在下拉列表中选择填写内容！</t>
        </r>
      </text>
    </comment>
    <comment ref="C169" authorId="0">
      <text>
        <r>
          <rPr>
            <b/>
            <sz val="9"/>
            <rFont val="宋体"/>
            <charset val="134"/>
          </rPr>
          <t>作者:</t>
        </r>
        <r>
          <rPr>
            <sz val="9"/>
            <rFont val="宋体"/>
            <charset val="134"/>
          </rPr>
          <t xml:space="preserve">
请在下拉列表中选择填写内容！</t>
        </r>
      </text>
    </comment>
    <comment ref="I169" authorId="3">
      <text>
        <r>
          <rPr>
            <b/>
            <sz val="9"/>
            <rFont val="宋体"/>
            <charset val="134"/>
          </rPr>
          <t xml:space="preserve">作者:
</t>
        </r>
        <r>
          <rPr>
            <sz val="9"/>
            <rFont val="宋体"/>
            <charset val="134"/>
          </rPr>
          <t>请在下拉列表中选择填写内容！</t>
        </r>
      </text>
    </comment>
    <comment ref="J169" authorId="4">
      <text>
        <r>
          <rPr>
            <b/>
            <sz val="9"/>
            <rFont val="宋体"/>
            <charset val="134"/>
          </rPr>
          <t>作者:
直接填写数字！</t>
        </r>
        <r>
          <rPr>
            <sz val="9"/>
            <rFont val="宋体"/>
            <charset val="134"/>
          </rPr>
          <t>属“独立完成”不填写本栏目。</t>
        </r>
      </text>
    </comment>
    <comment ref="K169" authorId="0">
      <text>
        <r>
          <rPr>
            <b/>
            <sz val="9"/>
            <rFont val="宋体"/>
            <charset val="134"/>
          </rPr>
          <t>作者:
直接填写数字！</t>
        </r>
        <r>
          <rPr>
            <sz val="9"/>
            <rFont val="宋体"/>
            <charset val="134"/>
          </rPr>
          <t>属“独立完成”不填写本栏目。</t>
        </r>
      </text>
    </comment>
    <comment ref="B173" authorId="0">
      <text>
        <r>
          <rPr>
            <b/>
            <sz val="9"/>
            <rFont val="宋体"/>
            <charset val="134"/>
          </rPr>
          <t>作者:</t>
        </r>
        <r>
          <rPr>
            <sz val="9"/>
            <rFont val="宋体"/>
            <charset val="134"/>
          </rPr>
          <t xml:space="preserve">
请在下拉列表中选择填写内容！</t>
        </r>
      </text>
    </comment>
    <comment ref="I173" authorId="3">
      <text>
        <r>
          <rPr>
            <b/>
            <sz val="9"/>
            <rFont val="宋体"/>
            <charset val="134"/>
          </rPr>
          <t xml:space="preserve">作者:
</t>
        </r>
        <r>
          <rPr>
            <sz val="9"/>
            <rFont val="宋体"/>
            <charset val="134"/>
          </rPr>
          <t>请在下拉列表中选择填写内容！</t>
        </r>
      </text>
    </comment>
    <comment ref="J173" authorId="4">
      <text>
        <r>
          <rPr>
            <b/>
            <sz val="9"/>
            <rFont val="宋体"/>
            <charset val="134"/>
          </rPr>
          <t>作者:
直接填写数字！</t>
        </r>
        <r>
          <rPr>
            <sz val="9"/>
            <rFont val="宋体"/>
            <charset val="134"/>
          </rPr>
          <t>属“独立完成”不填写本栏目。</t>
        </r>
      </text>
    </comment>
    <comment ref="K173" authorId="0">
      <text>
        <r>
          <rPr>
            <b/>
            <sz val="9"/>
            <rFont val="宋体"/>
            <charset val="134"/>
          </rPr>
          <t>作者:
直接填写数字！</t>
        </r>
        <r>
          <rPr>
            <sz val="9"/>
            <rFont val="宋体"/>
            <charset val="134"/>
          </rPr>
          <t>属“独立完成”不填写本栏目。</t>
        </r>
      </text>
    </comment>
    <comment ref="B174" authorId="0">
      <text>
        <r>
          <rPr>
            <b/>
            <sz val="9"/>
            <rFont val="宋体"/>
            <charset val="134"/>
          </rPr>
          <t>作者:</t>
        </r>
        <r>
          <rPr>
            <sz val="9"/>
            <rFont val="宋体"/>
            <charset val="134"/>
          </rPr>
          <t xml:space="preserve">
请在下拉列表中选择填写内容！</t>
        </r>
      </text>
    </comment>
    <comment ref="I174" authorId="3">
      <text>
        <r>
          <rPr>
            <b/>
            <sz val="9"/>
            <rFont val="宋体"/>
            <charset val="134"/>
          </rPr>
          <t xml:space="preserve">作者:
</t>
        </r>
        <r>
          <rPr>
            <sz val="9"/>
            <rFont val="宋体"/>
            <charset val="134"/>
          </rPr>
          <t>请在下拉列表中选择填写内容！</t>
        </r>
      </text>
    </comment>
    <comment ref="J174" authorId="4">
      <text>
        <r>
          <rPr>
            <b/>
            <sz val="9"/>
            <rFont val="宋体"/>
            <charset val="134"/>
          </rPr>
          <t>作者:
直接填写数字！</t>
        </r>
        <r>
          <rPr>
            <sz val="9"/>
            <rFont val="宋体"/>
            <charset val="134"/>
          </rPr>
          <t>属“独立完成”不填写本栏目。</t>
        </r>
      </text>
    </comment>
    <comment ref="K174" authorId="0">
      <text>
        <r>
          <rPr>
            <b/>
            <sz val="9"/>
            <rFont val="宋体"/>
            <charset val="134"/>
          </rPr>
          <t>作者:
直接填写数字！</t>
        </r>
        <r>
          <rPr>
            <sz val="9"/>
            <rFont val="宋体"/>
            <charset val="134"/>
          </rPr>
          <t>属“独立完成”不填写本栏目。</t>
        </r>
      </text>
    </comment>
    <comment ref="B178" authorId="0">
      <text>
        <r>
          <rPr>
            <b/>
            <sz val="9"/>
            <rFont val="宋体"/>
            <charset val="134"/>
          </rPr>
          <t>作者:</t>
        </r>
        <r>
          <rPr>
            <sz val="9"/>
            <rFont val="宋体"/>
            <charset val="134"/>
          </rPr>
          <t xml:space="preserve">
请在下拉列表中选择填写内容！</t>
        </r>
      </text>
    </comment>
    <comment ref="C178" authorId="2">
      <text>
        <r>
          <rPr>
            <b/>
            <sz val="9"/>
            <rFont val="宋体"/>
            <charset val="134"/>
          </rPr>
          <t>Admin:</t>
        </r>
        <r>
          <rPr>
            <sz val="9"/>
            <rFont val="宋体"/>
            <charset val="134"/>
          </rPr>
          <t xml:space="preserve">
请在下拉列表中选择填写内容！
</t>
        </r>
      </text>
    </comment>
    <comment ref="E178" authorId="0">
      <text>
        <r>
          <rPr>
            <b/>
            <sz val="9"/>
            <rFont val="宋体"/>
            <charset val="134"/>
          </rPr>
          <t>作者:</t>
        </r>
        <r>
          <rPr>
            <sz val="9"/>
            <rFont val="宋体"/>
            <charset val="134"/>
          </rPr>
          <t xml:space="preserve">
请在下拉列表中选择填写内容！</t>
        </r>
      </text>
    </comment>
    <comment ref="I178" authorId="3">
      <text>
        <r>
          <rPr>
            <b/>
            <sz val="9"/>
            <rFont val="宋体"/>
            <charset val="134"/>
          </rPr>
          <t xml:space="preserve">作者:
</t>
        </r>
        <r>
          <rPr>
            <sz val="9"/>
            <rFont val="宋体"/>
            <charset val="134"/>
          </rPr>
          <t>请在下拉列表中选择填写内容！</t>
        </r>
      </text>
    </comment>
    <comment ref="J178" authorId="0">
      <text>
        <r>
          <rPr>
            <b/>
            <sz val="9"/>
            <rFont val="宋体"/>
            <charset val="134"/>
          </rPr>
          <t>作者:
直接填写数字！</t>
        </r>
        <r>
          <rPr>
            <sz val="9"/>
            <rFont val="宋体"/>
            <charset val="134"/>
          </rPr>
          <t>属“独立完成”不填写本栏目。</t>
        </r>
      </text>
    </comment>
    <comment ref="K178" authorId="0">
      <text>
        <r>
          <rPr>
            <b/>
            <sz val="9"/>
            <rFont val="宋体"/>
            <charset val="134"/>
          </rPr>
          <t>作者:
直接填写数字！</t>
        </r>
        <r>
          <rPr>
            <sz val="9"/>
            <rFont val="宋体"/>
            <charset val="134"/>
          </rPr>
          <t>属“独立完成”不填写本栏目。</t>
        </r>
      </text>
    </comment>
    <comment ref="B179" authorId="0">
      <text>
        <r>
          <rPr>
            <b/>
            <sz val="9"/>
            <rFont val="宋体"/>
            <charset val="134"/>
          </rPr>
          <t>作者:</t>
        </r>
        <r>
          <rPr>
            <sz val="9"/>
            <rFont val="宋体"/>
            <charset val="134"/>
          </rPr>
          <t xml:space="preserve">
请在下拉列表中选择填写内容！“示范专业”请选择“品牌专业”。</t>
        </r>
      </text>
    </comment>
    <comment ref="C179" authorId="2">
      <text>
        <r>
          <rPr>
            <b/>
            <sz val="9"/>
            <rFont val="宋体"/>
            <charset val="134"/>
          </rPr>
          <t>Admin:</t>
        </r>
        <r>
          <rPr>
            <sz val="9"/>
            <rFont val="宋体"/>
            <charset val="134"/>
          </rPr>
          <t xml:space="preserve">
请在下拉列表中选择填写内容！
</t>
        </r>
      </text>
    </comment>
    <comment ref="E179" authorId="0">
      <text>
        <r>
          <rPr>
            <b/>
            <sz val="9"/>
            <rFont val="宋体"/>
            <charset val="134"/>
          </rPr>
          <t>作者:</t>
        </r>
        <r>
          <rPr>
            <sz val="9"/>
            <rFont val="宋体"/>
            <charset val="134"/>
          </rPr>
          <t xml:space="preserve">
请在下拉列表中选择填写内容！</t>
        </r>
      </text>
    </comment>
    <comment ref="I179" authorId="3">
      <text>
        <r>
          <rPr>
            <b/>
            <sz val="9"/>
            <rFont val="宋体"/>
            <charset val="134"/>
          </rPr>
          <t xml:space="preserve">作者:
</t>
        </r>
        <r>
          <rPr>
            <sz val="9"/>
            <rFont val="宋体"/>
            <charset val="134"/>
          </rPr>
          <t>请在下拉列表中选择填写内容！</t>
        </r>
      </text>
    </comment>
    <comment ref="J179" authorId="0">
      <text>
        <r>
          <rPr>
            <b/>
            <sz val="9"/>
            <rFont val="宋体"/>
            <charset val="134"/>
          </rPr>
          <t>作者:
直接填写数字！</t>
        </r>
        <r>
          <rPr>
            <sz val="9"/>
            <rFont val="宋体"/>
            <charset val="134"/>
          </rPr>
          <t>属“独立完成”不填写本栏目。</t>
        </r>
      </text>
    </comment>
    <comment ref="K179" authorId="0">
      <text>
        <r>
          <rPr>
            <b/>
            <sz val="9"/>
            <rFont val="宋体"/>
            <charset val="134"/>
          </rPr>
          <t>作者:
直接填写数字！</t>
        </r>
        <r>
          <rPr>
            <sz val="9"/>
            <rFont val="宋体"/>
            <charset val="134"/>
          </rPr>
          <t>属“独立完成”不填写本栏目。</t>
        </r>
      </text>
    </comment>
    <comment ref="B180" authorId="0">
      <text>
        <r>
          <rPr>
            <b/>
            <sz val="9"/>
            <rFont val="宋体"/>
            <charset val="134"/>
          </rPr>
          <t>作者:</t>
        </r>
        <r>
          <rPr>
            <sz val="9"/>
            <rFont val="宋体"/>
            <charset val="134"/>
          </rPr>
          <t xml:space="preserve">
请在下拉列表中选择填写内容！“示范专业”请选择“品牌专业”。</t>
        </r>
      </text>
    </comment>
    <comment ref="C180" authorId="2">
      <text>
        <r>
          <rPr>
            <b/>
            <sz val="9"/>
            <rFont val="宋体"/>
            <charset val="134"/>
          </rPr>
          <t>Admin:</t>
        </r>
        <r>
          <rPr>
            <sz val="9"/>
            <rFont val="宋体"/>
            <charset val="134"/>
          </rPr>
          <t xml:space="preserve">
请在下拉列表中选择填写内容！
</t>
        </r>
      </text>
    </comment>
    <comment ref="E180" authorId="0">
      <text>
        <r>
          <rPr>
            <b/>
            <sz val="9"/>
            <rFont val="宋体"/>
            <charset val="134"/>
          </rPr>
          <t>作者:</t>
        </r>
        <r>
          <rPr>
            <sz val="9"/>
            <rFont val="宋体"/>
            <charset val="134"/>
          </rPr>
          <t xml:space="preserve">
请在下拉列表中选择填写内容！</t>
        </r>
      </text>
    </comment>
    <comment ref="I180" authorId="3">
      <text>
        <r>
          <rPr>
            <b/>
            <sz val="9"/>
            <rFont val="宋体"/>
            <charset val="134"/>
          </rPr>
          <t xml:space="preserve">作者:
</t>
        </r>
        <r>
          <rPr>
            <sz val="9"/>
            <rFont val="宋体"/>
            <charset val="134"/>
          </rPr>
          <t>请在下拉列表中选择填写内容！</t>
        </r>
      </text>
    </comment>
    <comment ref="J180" authorId="0">
      <text>
        <r>
          <rPr>
            <b/>
            <sz val="9"/>
            <rFont val="宋体"/>
            <charset val="134"/>
          </rPr>
          <t>作者:
直接填写数字！</t>
        </r>
        <r>
          <rPr>
            <sz val="9"/>
            <rFont val="宋体"/>
            <charset val="134"/>
          </rPr>
          <t>属“独立完成”不填写本栏目。</t>
        </r>
      </text>
    </comment>
    <comment ref="K180"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<sst xmlns="http://schemas.openxmlformats.org/spreadsheetml/2006/main" count="735" uniqueCount="422">
  <si>
    <t>填表说明：</t>
  </si>
  <si>
    <t>1.本表由本人填写，所在部门（单位）审核。</t>
  </si>
  <si>
    <t>2.填表前请认真阅读填表说明及相关文件，由前至后，严格按照提示，认真如实填写！</t>
  </si>
  <si>
    <t>3.填写完毕后请使用A4纸单面打印。</t>
  </si>
  <si>
    <t>4.本表中所有成果须为取得副高级专业技术职务以来的成果。成果认定截止时间按照相关文件规定。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</si>
  <si>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</si>
  <si>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</si>
  <si>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</si>
  <si>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</si>
  <si>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</si>
  <si>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</si>
  <si>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副教授</t>
  </si>
  <si>
    <t>现专业技术层级:</t>
  </si>
  <si>
    <t>副高级</t>
  </si>
  <si>
    <t>申报评审系列:</t>
  </si>
  <si>
    <t>思想政治理论课教师</t>
  </si>
  <si>
    <t>申报专业技术职称:</t>
  </si>
  <si>
    <t>教授</t>
  </si>
  <si>
    <t>填 表 时 间:</t>
  </si>
  <si>
    <t>教师发展中心制</t>
  </si>
  <si>
    <t>姓 名</t>
  </si>
  <si>
    <t>性 别</t>
  </si>
  <si>
    <t>出生日期</t>
  </si>
  <si>
    <t>年龄</t>
  </si>
  <si>
    <t>最后学位（学历）</t>
  </si>
  <si>
    <t>最高学位（学历）
专业</t>
  </si>
  <si>
    <t>学位（学历）授予单位</t>
  </si>
  <si>
    <t>学历（位）及取得时间</t>
  </si>
  <si>
    <t>副高级职称取得年限</t>
  </si>
  <si>
    <t>最高学位（学历）取得时间</t>
  </si>
  <si>
    <t>最高学位（学历）
取得年限</t>
  </si>
  <si>
    <t>部门（单位）</t>
  </si>
  <si>
    <t>现任专业技术职称</t>
  </si>
  <si>
    <t>副高级职称取得时间</t>
  </si>
  <si>
    <t>现工作岗位</t>
  </si>
  <si>
    <t>岗位属性</t>
  </si>
  <si>
    <t>一、教育教学工作经历</t>
  </si>
  <si>
    <t>近三年教师教学
综合评价</t>
  </si>
  <si>
    <t>认定结果</t>
  </si>
  <si>
    <t>认定人</t>
  </si>
  <si>
    <t>A档数量</t>
  </si>
  <si>
    <t>B档数量</t>
  </si>
  <si>
    <t>C档数量</t>
  </si>
  <si>
    <t>D档数量</t>
  </si>
  <si>
    <t>近五年来独立
承担的教学任务</t>
  </si>
  <si>
    <t>课程名称</t>
  </si>
  <si>
    <t>授课学期</t>
  </si>
  <si>
    <t>授课班级</t>
  </si>
  <si>
    <t>授课门数</t>
  </si>
  <si>
    <t>职业教育
教学工作量
（学时）</t>
  </si>
  <si>
    <t>年均
工作量</t>
  </si>
  <si>
    <t>工作量得分</t>
  </si>
  <si>
    <t>工作量是否满足必备条件</t>
  </si>
  <si>
    <t>开放教育
教学工作量
（学时）</t>
  </si>
  <si>
    <t>企业实践
（天）</t>
  </si>
  <si>
    <t>合计</t>
  </si>
  <si>
    <t>企业实践得分</t>
  </si>
  <si>
    <t>企业实践是否满足必备条件</t>
  </si>
  <si>
    <t>近三年继续教育
（培训进修）</t>
  </si>
  <si>
    <t>类别</t>
  </si>
  <si>
    <t>起止时间</t>
  </si>
  <si>
    <t>参加培训名称</t>
  </si>
  <si>
    <t>培训地点</t>
  </si>
  <si>
    <t>培训学时</t>
  </si>
  <si>
    <t>培训基础分数</t>
  </si>
  <si>
    <t>培训加分</t>
  </si>
  <si>
    <t>国培次数</t>
  </si>
  <si>
    <t>境外线上线下培训次数</t>
  </si>
  <si>
    <t>近五年
承担培训任务</t>
  </si>
  <si>
    <t>培训时间</t>
  </si>
  <si>
    <t>培训项目名称</t>
  </si>
  <si>
    <t>主要承担的培训内容</t>
  </si>
  <si>
    <t>培训对象</t>
  </si>
  <si>
    <t>培训人数</t>
  </si>
  <si>
    <t>培训任务得分</t>
  </si>
  <si>
    <t>培养其它层级教师</t>
  </si>
  <si>
    <t>培养对象
姓名</t>
  </si>
  <si>
    <t>培养时间</t>
  </si>
  <si>
    <t>开始培养时
培养对象职称</t>
  </si>
  <si>
    <t>开始培养时
培养对象年龄</t>
  </si>
  <si>
    <t>培养对象工作岗位</t>
  </si>
  <si>
    <t>培养人数</t>
  </si>
  <si>
    <t>得分</t>
  </si>
  <si>
    <t>任副高级职称以来所指导青年教师获得荣誉、成果情况</t>
  </si>
  <si>
    <t>分项</t>
  </si>
  <si>
    <t>级别</t>
  </si>
  <si>
    <t>名称</t>
  </si>
  <si>
    <t>颁发部门机构</t>
  </si>
  <si>
    <t>完成情况</t>
  </si>
  <si>
    <t>合作人数</t>
  </si>
  <si>
    <t>排序</t>
  </si>
  <si>
    <t>权重系数</t>
  </si>
  <si>
    <t>量化得分</t>
  </si>
  <si>
    <t>被培养人分值1</t>
  </si>
  <si>
    <t>被培养人分值2</t>
  </si>
  <si>
    <t>培养对象符合条件数量</t>
  </si>
  <si>
    <t>二、教育教学改革项目或教学奖励</t>
  </si>
  <si>
    <t>1：任副高级职称以来教育教学改革项目情况</t>
  </si>
  <si>
    <t>项目级别</t>
  </si>
  <si>
    <t>立项机构</t>
  </si>
  <si>
    <t>本人排序</t>
  </si>
  <si>
    <t>经费(万元)</t>
  </si>
  <si>
    <t>合作系数</t>
  </si>
  <si>
    <t>国家级项目</t>
  </si>
  <si>
    <t>省级项目</t>
  </si>
  <si>
    <t>市级项目</t>
  </si>
  <si>
    <t>校级项目</t>
  </si>
  <si>
    <t>校级以上项目主持次数</t>
  </si>
  <si>
    <t>2-1：任副高级职称以来获得的教学成果奖或教学类项目奖项情况</t>
  </si>
  <si>
    <t>奖项类别</t>
  </si>
  <si>
    <t>获奖级别</t>
  </si>
  <si>
    <t>奖励部门</t>
  </si>
  <si>
    <t>市级分值</t>
  </si>
  <si>
    <t>校级分值</t>
  </si>
  <si>
    <t>国家级分值</t>
  </si>
  <si>
    <t>国开等级分值</t>
  </si>
  <si>
    <t>省级分值</t>
  </si>
  <si>
    <t>主持并获得省级以上次数</t>
  </si>
  <si>
    <t>前两名参与获得省级及以上次数</t>
  </si>
  <si>
    <t>2-2：任副高级职称以来本人参加教学类竞赛比赛获奖情况</t>
  </si>
  <si>
    <t>获奖等级</t>
  </si>
  <si>
    <t>获奖时间</t>
  </si>
  <si>
    <t>省级以上获奖数量</t>
  </si>
  <si>
    <t>三、教学科研业绩成果</t>
  </si>
  <si>
    <t>1：任副高级职称以来学术论文或文章发表情况</t>
  </si>
  <si>
    <t>刊物级别</t>
  </si>
  <si>
    <t>论文或文章名称</t>
  </si>
  <si>
    <t>发表刊物</t>
  </si>
  <si>
    <t>学校署名</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</si>
  <si>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</si>
  <si>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</si>
  <si>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</si>
  <si>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</si>
  <si>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</si>
  <si>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</si>
  <si>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</si>
  <si>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</si>
  <si>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</si>
  <si>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</si>
  <si>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</si>
  <si>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省级以上重要报刊发表文章数量</t>
  </si>
  <si>
    <t>2:任副高级职称以来课程建设情况</t>
  </si>
  <si>
    <t>主持省级以上一流课程数量</t>
  </si>
  <si>
    <t>一流课程分值</t>
  </si>
  <si>
    <t>课程建设分值</t>
  </si>
  <si>
    <t>课程合作系数</t>
  </si>
  <si>
    <t>3-1：任副高级职称以来教科研课题项目</t>
  </si>
  <si>
    <t>项目分值</t>
  </si>
  <si>
    <t>横向经费加分</t>
  </si>
  <si>
    <t>横向经费上限分</t>
  </si>
  <si>
    <t>国家级课题项目</t>
  </si>
  <si>
    <t>省级课题项目</t>
  </si>
  <si>
    <t>市级课题项目</t>
  </si>
  <si>
    <t>校级课题项目</t>
  </si>
  <si>
    <t>横向课题项目</t>
  </si>
  <si>
    <t>省级以上课题主持次数</t>
  </si>
  <si>
    <t>3-2：任副高级职称以来完成横向技术项目情况</t>
  </si>
  <si>
    <t>服务对象</t>
  </si>
  <si>
    <t>4：任副高级职称以来的著作、教材情况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</si>
  <si>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</si>
  <si>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</si>
  <si>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</si>
  <si>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</si>
  <si>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</si>
  <si>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</si>
  <si>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</si>
  <si>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</si>
  <si>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</si>
  <si>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</si>
  <si>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</si>
  <si>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</si>
  <si>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</si>
  <si>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</si>
  <si>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</si>
  <si>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</si>
  <si>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国家级马克思教材</t>
  </si>
  <si>
    <t>省级马克思教材</t>
  </si>
  <si>
    <t>普通马克思主义教材</t>
  </si>
  <si>
    <t>满足主编马克思类专著、教材的数量</t>
  </si>
  <si>
    <t>满足参编马克思类专著的数量</t>
  </si>
  <si>
    <t>5：任副高级职称以来获得的科研成果奖项情况</t>
  </si>
  <si>
    <t>6：任副高级职称以来主持取得的教学成果或教学经验推广情况</t>
  </si>
  <si>
    <t>方式</t>
  </si>
  <si>
    <t>成果、经验名称</t>
  </si>
  <si>
    <t>采纳或批示的政府机构、领导；推广的学校</t>
  </si>
  <si>
    <t>其他院校分值</t>
  </si>
  <si>
    <t>省级以上满足数量</t>
  </si>
  <si>
    <t>其他院校满足数量</t>
  </si>
  <si>
    <t>团队建设合作系数</t>
  </si>
  <si>
    <t>其他荣誉合作系数</t>
  </si>
  <si>
    <t>7：任副高级职称以来指导学生参加思想政治教育类比赛获奖情况</t>
  </si>
  <si>
    <t>世界级分值</t>
  </si>
  <si>
    <t>8：任副高级职称以来的其他高水平研究成果(项目设计、分析报告和研究报告等)</t>
  </si>
  <si>
    <t>认定单位(批示领导）</t>
  </si>
  <si>
    <t>项目设计合作系数</t>
  </si>
  <si>
    <t>成果分值</t>
  </si>
  <si>
    <t>满足必备条件数量</t>
  </si>
  <si>
    <t>报告合作系数</t>
  </si>
  <si>
    <t>9：任副高级职称以来本人在辽宁省高校思想政治理论课教学大赛或全国高校思想政治理论课教学展示活动中的获奖情况</t>
  </si>
  <si>
    <t>满足条件数量</t>
  </si>
  <si>
    <t>10：任副高级职称以来的创新教学团队建设情况</t>
  </si>
  <si>
    <t>教学、科研团队分值</t>
  </si>
  <si>
    <t>主持团队建设数量</t>
  </si>
  <si>
    <t>前2参与市级以上团队数量</t>
  </si>
  <si>
    <t>四、实践经验及能力</t>
  </si>
  <si>
    <t>1：任副高级职称以来面向学生组织专题讲座，开展思想价值引领情况</t>
  </si>
  <si>
    <t>讲座级别</t>
  </si>
  <si>
    <t>讲座名称</t>
  </si>
  <si>
    <t>讲座对象</t>
  </si>
  <si>
    <t>听讲人数</t>
  </si>
  <si>
    <t>讲座时间</t>
  </si>
  <si>
    <t>分值</t>
  </si>
  <si>
    <t>2：任副高级职称以来兼任辅导员、班主任(或班导师)工作</t>
  </si>
  <si>
    <t>班导师工作</t>
  </si>
  <si>
    <t>指导班级</t>
  </si>
  <si>
    <t>指导时间</t>
  </si>
  <si>
    <t>3：任副高级职称以来个马克思主义理论类大学生社团指导情况</t>
  </si>
  <si>
    <t>社团名称</t>
  </si>
  <si>
    <t>社团人数</t>
  </si>
  <si>
    <t>社团指导教师分值</t>
  </si>
  <si>
    <t>4：“双师”素质（取得非教师系列相关专业的高级专业技术任职资格证书或相关岗位的高级职业技能资格证书）</t>
  </si>
  <si>
    <t>证书类别</t>
  </si>
  <si>
    <t>取得时间</t>
  </si>
  <si>
    <t>专业（职业）名称</t>
  </si>
  <si>
    <t>授予部门（机构）</t>
  </si>
  <si>
    <t>高级分值</t>
  </si>
  <si>
    <t>中级分值</t>
  </si>
  <si>
    <t>初级分值</t>
  </si>
  <si>
    <t>无等级分值</t>
  </si>
  <si>
    <t>5：任副高级职称以来发明专利情况</t>
  </si>
  <si>
    <t>专利类别</t>
  </si>
  <si>
    <t>颁发机构</t>
  </si>
  <si>
    <t>外观设计专利</t>
  </si>
  <si>
    <t>软件著作权登记</t>
  </si>
  <si>
    <t>实用新型专利</t>
  </si>
  <si>
    <t>发明专利</t>
  </si>
  <si>
    <t>第一人发明数量</t>
  </si>
  <si>
    <t>第一人实用新型数量</t>
  </si>
  <si>
    <t>五、其他成绩附加项</t>
  </si>
  <si>
    <t>品牌双高卓越专业分值</t>
  </si>
  <si>
    <t>五星专业分值</t>
  </si>
  <si>
    <t>四星专业分值</t>
  </si>
  <si>
    <t>学徒制、1+X 考点分值</t>
  </si>
  <si>
    <t>主持资源库建设分值</t>
  </si>
  <si>
    <t>参与资源库建设分值</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</si>
  <si>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</si>
  <si>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</si>
  <si>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</si>
  <si>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</si>
  <si>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</si>
  <si>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</si>
  <si>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</si>
  <si>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</si>
  <si>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</si>
  <si>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党组织、其他团体分值</t>
  </si>
  <si>
    <t>教师党支部书记分值</t>
  </si>
  <si>
    <t>党务、其他工作项目荣誉分值</t>
  </si>
  <si>
    <t>个人荣誉</t>
  </si>
  <si>
    <t>团体荣誉</t>
  </si>
  <si>
    <t>工作项目荣誉</t>
  </si>
  <si>
    <t>专业技术职称评审量化赋分结果汇总</t>
  </si>
  <si>
    <t>基本条件</t>
  </si>
  <si>
    <t>学历（位）得分</t>
  </si>
  <si>
    <t>是否满足必备条件</t>
  </si>
  <si>
    <t>副高级职称取得年限分</t>
  </si>
  <si>
    <t>基本条件得分合计</t>
  </si>
  <si>
    <t>教育教学
工作经历</t>
  </si>
  <si>
    <t>教师教学综合
评价得分</t>
  </si>
  <si>
    <t>综合评价是否
满足必备条件</t>
  </si>
  <si>
    <t>授课门数是否满足必备条件</t>
  </si>
  <si>
    <t>教学工作量得分</t>
  </si>
  <si>
    <t>工作量是否
满足必备条件</t>
  </si>
  <si>
    <t>继续教育
（培训进修）得分</t>
  </si>
  <si>
    <t>继续教育
是否满足必备条件</t>
  </si>
  <si>
    <t>培养其它层级
教师得分</t>
  </si>
  <si>
    <t>培养其它层级教师
是否满足必备条件</t>
  </si>
  <si>
    <t>教育教学工作经历
得分合计</t>
  </si>
  <si>
    <t>教育教学改革项目或
教学奖励</t>
  </si>
  <si>
    <t>教育教学改革
项目得分</t>
  </si>
  <si>
    <t>教育教学改革项目
是否满足必备条件</t>
  </si>
  <si>
    <t>教学奖励得分</t>
  </si>
  <si>
    <t>教学奖励是否满足必备条件</t>
  </si>
  <si>
    <t>教育教学改革项目
或教学奖励得分合计</t>
  </si>
  <si>
    <t>教学科研
业绩成果</t>
  </si>
  <si>
    <t>论文或文章发表得分</t>
  </si>
  <si>
    <t>论文或文章发表是否满足必备条件</t>
  </si>
  <si>
    <t>课程建设得分</t>
  </si>
  <si>
    <t>课程建设
是否满足必备条件</t>
  </si>
  <si>
    <t>课题及横向项目得分</t>
  </si>
  <si>
    <t>教科研课题项目
是否满足必备条件</t>
  </si>
  <si>
    <t>著作教材得分</t>
  </si>
  <si>
    <t>著作教材得分是否满足必备条件</t>
  </si>
  <si>
    <t>教科研成果奖项
得分</t>
  </si>
  <si>
    <t>教科研成果奖项
是否满足必备条件</t>
  </si>
  <si>
    <t>成果或经验推广得分</t>
  </si>
  <si>
    <t>成果或经验推广
是否满足必备条件</t>
  </si>
  <si>
    <t>指导学生参赛
得分</t>
  </si>
  <si>
    <t>指导学生参赛
是否满足必备条件</t>
  </si>
  <si>
    <t>其他成果
得分</t>
  </si>
  <si>
    <t>其他成果
是否满足必备条件</t>
  </si>
  <si>
    <t>本人参赛得分</t>
  </si>
  <si>
    <t>本人参赛
是否满足必备条件</t>
  </si>
  <si>
    <t>团队建设得分</t>
  </si>
  <si>
    <t>教学教研业绩成果
得分合计</t>
  </si>
  <si>
    <t>实践经验
及能力</t>
  </si>
  <si>
    <t>专题讲座得分</t>
  </si>
  <si>
    <t>专题讲座
是否满足必备条件</t>
  </si>
  <si>
    <t>班导师得分</t>
  </si>
  <si>
    <t>班导师
是否满足必备条件</t>
  </si>
  <si>
    <t>社团指导得分</t>
  </si>
  <si>
    <t>双师素质得分</t>
  </si>
  <si>
    <t>发明专利得分</t>
  </si>
  <si>
    <t>实践经验及能力
得分合计</t>
  </si>
  <si>
    <t>结果汇总</t>
  </si>
  <si>
    <t>其他成绩附加
得分合计</t>
  </si>
  <si>
    <t>基本条件是否满足</t>
  </si>
  <si>
    <t>教育教学经历
是否满足</t>
  </si>
  <si>
    <t>教改项目和教学奖励是否满足</t>
  </si>
  <si>
    <t>教学教研业绩是否满足</t>
  </si>
  <si>
    <t>实践能力是否满足</t>
  </si>
  <si>
    <t>基本条件满足数量</t>
  </si>
  <si>
    <t>教育教学满足数量</t>
  </si>
  <si>
    <t>业绩成果满足数量</t>
  </si>
  <si>
    <t>教改项目或教学奖励</t>
  </si>
  <si>
    <t>实践能力满足数量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</si>
  <si>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</si>
  <si>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</si>
  <si>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</si>
  <si>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</si>
  <si>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</si>
  <si>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</si>
  <si>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</si>
  <si>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</si>
  <si>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</si>
  <si>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</si>
  <si>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</si>
  <si>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</si>
  <si>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</si>
  <si>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</si>
  <si>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</si>
  <si>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</si>
  <si>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</si>
  <si>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</si>
  <si>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</si>
  <si>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</si>
  <si>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</si>
  <si>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教育教学改革项目</t>
  </si>
  <si>
    <t>实训项目</t>
  </si>
  <si>
    <t>产教融合项目</t>
  </si>
  <si>
    <t>国家级</t>
  </si>
  <si>
    <t>大型企业</t>
  </si>
  <si>
    <t>创新创业项目</t>
  </si>
  <si>
    <t>省级</t>
  </si>
  <si>
    <t>国家级行业协会</t>
  </si>
  <si>
    <t>市级</t>
  </si>
  <si>
    <t>中型企业</t>
  </si>
  <si>
    <t>素质教育类社团指导</t>
  </si>
  <si>
    <t>校级</t>
  </si>
  <si>
    <t>省级行业协会</t>
  </si>
  <si>
    <t>小型企业</t>
  </si>
  <si>
    <t>市级行业协会</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</si>
  <si>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</si>
  <si>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</si>
  <si>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</si>
  <si>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</si>
  <si>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</si>
  <si>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</si>
  <si>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</si>
  <si>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</si>
  <si>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</si>
  <si>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</si>
  <si>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</si>
  <si>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</si>
  <si>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</si>
  <si>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</si>
  <si>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</si>
  <si>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</si>
  <si>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</si>
  <si>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</si>
  <si>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</si>
  <si>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</si>
  <si>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</si>
  <si>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</si>
  <si>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</si>
  <si>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</si>
  <si>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</si>
  <si>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</si>
  <si>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</si>
  <si>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t>省级成果奖</t>
  </si>
  <si>
    <t>双高专业群</t>
  </si>
  <si>
    <t>精品教材</t>
  </si>
  <si>
    <t>科研创新团队（平台）</t>
  </si>
  <si>
    <t>辅导员名师</t>
  </si>
  <si>
    <t>党组织荣誉</t>
  </si>
  <si>
    <t>党务工作项目荣誉</t>
  </si>
  <si>
    <t>CA三大检索</t>
  </si>
  <si>
    <r>
      <rPr>
        <sz val="10.5"/>
        <rFont val="宋体"/>
        <charset val="134"/>
      </rPr>
      <t>省级规划教材</t>
    </r>
  </si>
  <si>
    <t>市级成果奖</t>
  </si>
  <si>
    <t>卓越校专业群</t>
  </si>
  <si>
    <t>教材建设奖</t>
  </si>
  <si>
    <t>专业带头人</t>
  </si>
  <si>
    <t>学生工作项目</t>
  </si>
  <si>
    <t>省级马克思主义教材</t>
  </si>
  <si>
    <t>国家开放大学成果奖</t>
  </si>
  <si>
    <t>国家开放大学</t>
  </si>
  <si>
    <t>五星级专业</t>
  </si>
  <si>
    <t>职业体验课</t>
  </si>
  <si>
    <t>学术带头人</t>
  </si>
  <si>
    <t>校级成果奖</t>
  </si>
  <si>
    <t>四星级专业</t>
  </si>
  <si>
    <t>技能大师</t>
  </si>
  <si>
    <t>国家级马克思主义教材</t>
  </si>
  <si>
    <t>国家级教学奖</t>
  </si>
  <si>
    <t>主持资源库建设</t>
  </si>
  <si>
    <t>骨干教师</t>
  </si>
  <si>
    <t>省级教学奖</t>
  </si>
  <si>
    <t>参与资源库建设</t>
  </si>
  <si>
    <t>科研骨干</t>
  </si>
  <si>
    <t>马克思主义理论学术专著</t>
  </si>
  <si>
    <t>市级教学奖</t>
  </si>
  <si>
    <t>国家开放大学教学奖</t>
  </si>
  <si>
    <t>校级教学奖</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</si>
</sst>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0_ "/>
    <numFmt numFmtId="185" formatCode="0.0_);[Red]\(0.0\)"/>
    <numFmt numFmtId="186" formatCode="0.00_);[Red]\(0.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宋体"/>
      <charset val="134"/>
    </font>
    <font>
      <sz val="11"/>
      <name val="楷体_GB2312"/>
      <charset val="134"/>
    </font>
    <font>
      <sz val="14"/>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name val="宋体"/>
      <charset val="134"/>
    </font>
    <font>
      <sz val="9"/>
      <name val="宋体"/>
      <charset val="134"/>
    </font>
    <font>
      <b/>
      <sz val="9"/>
      <color indexed="10"/>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theme="0" tint="-0.1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69">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4" fillId="6" borderId="2" xfId="0" applyFont="1" applyFill="1" applyBorder="1" applyAlignment="1" applyProtection="1">
      <alignment vertical="center"/>
      <protection hidden="1"/>
    </xf>
    <xf numFmtId="0" fontId="2" fillId="6" borderId="6" xfId="0" applyFont="1" applyFill="1" applyBorder="1" applyAlignment="1" applyProtection="1">
      <alignment vertical="center"/>
      <protection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180" fontId="16" fillId="2" borderId="2" xfId="0" applyNumberFormat="1" applyFont="1" applyFill="1" applyBorder="1" applyAlignment="1" applyProtection="1">
      <alignment horizontal="center" vertical="center" shrinkToFit="1"/>
      <protection locked="0" hidden="1"/>
    </xf>
    <xf numFmtId="0" fontId="2" fillId="6" borderId="6" xfId="0" applyFont="1" applyFill="1" applyBorder="1" applyAlignment="1" applyProtection="1">
      <alignment horizontal="center" vertical="center"/>
      <protection hidden="1"/>
    </xf>
    <xf numFmtId="180" fontId="16" fillId="2"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protection hidden="1"/>
    </xf>
    <xf numFmtId="49" fontId="17" fillId="2" borderId="1" xfId="0" applyNumberFormat="1" applyFont="1" applyFill="1" applyBorder="1" applyAlignment="1" applyProtection="1">
      <alignment horizontal="center" vertical="center" shrinkToFit="1"/>
      <protection locked="0" hidden="1"/>
    </xf>
    <xf numFmtId="49" fontId="17" fillId="2"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0" fontId="2" fillId="6" borderId="6" xfId="0" applyFont="1" applyFill="1" applyBorder="1" applyAlignment="1" applyProtection="1">
      <alignment horizontal="center" vertical="center" shrinkToFit="1"/>
      <protection hidden="1"/>
    </xf>
    <xf numFmtId="182"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center" vertical="center" shrinkToFit="1"/>
      <protection hidden="1"/>
    </xf>
    <xf numFmtId="0" fontId="2" fillId="2" borderId="6" xfId="0" applyFont="1" applyFill="1" applyBorder="1" applyAlignment="1" applyProtection="1">
      <alignment horizontal="center" vertical="center" wrapText="1"/>
      <protection locked="0" hidden="1"/>
    </xf>
    <xf numFmtId="0" fontId="2" fillId="6" borderId="9" xfId="0" applyFont="1" applyFill="1" applyBorder="1" applyAlignment="1" applyProtection="1">
      <alignment horizontal="center" vertical="center" shrinkToFit="1"/>
      <protection hidden="1"/>
    </xf>
    <xf numFmtId="57" fontId="2" fillId="2" borderId="2" xfId="0" applyNumberFormat="1" applyFont="1" applyFill="1" applyBorder="1" applyAlignment="1" applyProtection="1">
      <alignment horizontal="center" vertical="center" wrapText="1"/>
      <protection locked="0" hidden="1"/>
    </xf>
    <xf numFmtId="0" fontId="7" fillId="2"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80" fontId="16" fillId="2" borderId="2" xfId="0" applyNumberFormat="1" applyFont="1" applyFill="1" applyBorder="1" applyAlignment="1" applyProtection="1">
      <alignment vertical="center" shrinkToFit="1"/>
      <protection locked="0" hidden="1"/>
    </xf>
    <xf numFmtId="177" fontId="2" fillId="6" borderId="2" xfId="0" applyNumberFormat="1"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protection hidden="1"/>
    </xf>
    <xf numFmtId="180" fontId="17" fillId="2"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2" fillId="6" borderId="1" xfId="0" applyFont="1" applyFill="1" applyBorder="1" applyAlignment="1" applyProtection="1">
      <alignment horizontal="left" vertical="center" wrapText="1" shrinkToFit="1"/>
      <protection hidden="1"/>
    </xf>
    <xf numFmtId="0" fontId="2" fillId="6" borderId="9" xfId="0" applyFont="1" applyFill="1" applyBorder="1" applyAlignment="1" applyProtection="1">
      <alignment horizontal="left" vertical="center" wrapText="1" shrinkToFit="1"/>
      <protection hidden="1"/>
    </xf>
    <xf numFmtId="0" fontId="2" fillId="6" borderId="2" xfId="0" applyFont="1" applyFill="1" applyBorder="1" applyAlignment="1" applyProtection="1">
      <alignment vertical="center" shrinkToFit="1"/>
      <protection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18" fillId="6" borderId="2" xfId="0" applyFont="1" applyFill="1" applyBorder="1" applyAlignment="1" applyProtection="1">
      <alignment horizontal="left" vertical="center" wrapText="1"/>
      <protection locked="0" hidden="1"/>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49" fontId="21" fillId="0" borderId="1"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0" fontId="18" fillId="6" borderId="2" xfId="0" applyFont="1" applyFill="1" applyBorder="1" applyAlignment="1" applyProtection="1">
      <alignment horizontal="left" vertical="center" wrapText="1"/>
      <protection hidden="1"/>
    </xf>
    <xf numFmtId="49" fontId="21" fillId="0" borderId="2" xfId="0" applyNumberFormat="1" applyFont="1" applyFill="1" applyBorder="1" applyAlignment="1" applyProtection="1">
      <alignment vertical="center" shrinkToFit="1"/>
      <protection locked="0" hidden="1"/>
    </xf>
    <xf numFmtId="0" fontId="2" fillId="6" borderId="9" xfId="0" applyFont="1" applyFill="1" applyBorder="1" applyAlignment="1" applyProtection="1">
      <alignment horizontal="center" vertical="center" wrapText="1"/>
      <protection hidden="1"/>
    </xf>
    <xf numFmtId="49" fontId="21" fillId="0" borderId="9" xfId="0" applyNumberFormat="1" applyFont="1" applyFill="1" applyBorder="1" applyAlignment="1" applyProtection="1">
      <alignment horizontal="center" vertical="center" shrinkToFit="1"/>
      <protection locked="0"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0" fontId="2" fillId="6" borderId="9" xfId="0" applyFont="1" applyFill="1" applyBorder="1" applyAlignment="1" applyProtection="1">
      <alignment horizontal="center" vertical="center" wrapText="1" shrinkToFit="1"/>
      <protection hidden="1"/>
    </xf>
    <xf numFmtId="0" fontId="2" fillId="6" borderId="6" xfId="0" applyFont="1" applyFill="1" applyBorder="1" applyAlignment="1" applyProtection="1">
      <alignment horizontal="left" vertical="center" wrapText="1" shrinkToFit="1"/>
      <protection hidden="1"/>
    </xf>
    <xf numFmtId="183" fontId="21" fillId="0" borderId="2" xfId="0" applyNumberFormat="1" applyFont="1" applyFill="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4"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5" fontId="21" fillId="6" borderId="2" xfId="0" applyNumberFormat="1" applyFont="1" applyFill="1" applyBorder="1" applyAlignment="1" applyProtection="1">
      <alignment horizontal="center" vertical="center" shrinkToFit="1"/>
      <protection hidden="1"/>
    </xf>
    <xf numFmtId="0" fontId="7" fillId="7"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86" fontId="5" fillId="6" borderId="2" xfId="0" applyNumberFormat="1" applyFont="1" applyFill="1" applyBorder="1" applyAlignment="1" applyProtection="1">
      <alignment horizontal="center" vertical="center" shrinkToFit="1"/>
      <protection hidden="1"/>
    </xf>
    <xf numFmtId="177" fontId="7" fillId="2"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6" fontId="21" fillId="6" borderId="2" xfId="0" applyNumberFormat="1" applyFont="1" applyFill="1" applyBorder="1" applyAlignment="1" applyProtection="1">
      <alignment horizontal="center" vertical="center" shrinkToFit="1"/>
      <protection hidden="1"/>
    </xf>
    <xf numFmtId="183" fontId="21" fillId="0" borderId="2" xfId="0" applyNumberFormat="1" applyFont="1" applyBorder="1" applyAlignment="1" applyProtection="1">
      <alignment horizontal="center" vertical="center" shrinkToFit="1"/>
      <protection locked="0" hidden="1"/>
    </xf>
    <xf numFmtId="180" fontId="21" fillId="0" borderId="2" xfId="0" applyNumberFormat="1" applyFont="1" applyBorder="1" applyAlignment="1" applyProtection="1">
      <alignment horizontal="center" vertical="center" shrinkToFit="1"/>
      <protection locked="0" hidden="1"/>
    </xf>
    <xf numFmtId="0" fontId="3" fillId="6" borderId="2" xfId="0" applyFont="1" applyFill="1" applyBorder="1" applyAlignment="1" applyProtection="1">
      <alignment horizontal="center" vertical="center" wrapText="1" shrinkToFit="1"/>
      <protection hidden="1"/>
    </xf>
    <xf numFmtId="176" fontId="21" fillId="0" borderId="2" xfId="0" applyNumberFormat="1" applyFont="1" applyFill="1" applyBorder="1" applyAlignment="1" applyProtection="1">
      <alignment horizontal="center" vertical="center" shrinkToFit="1"/>
      <protection locked="0" hidden="1"/>
    </xf>
    <xf numFmtId="186" fontId="21" fillId="0" borderId="2" xfId="0" applyNumberFormat="1"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0" fontId="7" fillId="8" borderId="1" xfId="0" applyFont="1" applyFill="1" applyBorder="1" applyAlignment="1" applyProtection="1">
      <alignment horizontal="center" vertical="center" shrinkToFit="1"/>
      <protection locked="0" hidden="1"/>
    </xf>
    <xf numFmtId="0" fontId="7" fillId="8" borderId="6" xfId="0" applyFont="1" applyFill="1" applyBorder="1" applyAlignment="1" applyProtection="1">
      <alignment horizontal="center" vertical="center" shrinkToFit="1"/>
      <protection locked="0" hidden="1"/>
    </xf>
    <xf numFmtId="0" fontId="7" fillId="8" borderId="1" xfId="0" applyFont="1" applyFill="1" applyBorder="1" applyAlignment="1" applyProtection="1">
      <alignment horizontal="center" vertical="center"/>
      <protection locked="0" hidden="1"/>
    </xf>
    <xf numFmtId="0" fontId="7" fillId="8" borderId="6" xfId="0" applyFont="1" applyFill="1" applyBorder="1" applyAlignment="1" applyProtection="1">
      <alignment horizontal="center" vertical="center"/>
      <protection locked="0" hidden="1"/>
    </xf>
    <xf numFmtId="180" fontId="7" fillId="2" borderId="2" xfId="0" applyNumberFormat="1" applyFont="1" applyFill="1" applyBorder="1" applyAlignment="1" applyProtection="1">
      <alignment horizontal="center" vertical="center"/>
      <protection locked="0" hidden="1"/>
    </xf>
    <xf numFmtId="180" fontId="7" fillId="8" borderId="1" xfId="0" applyNumberFormat="1" applyFont="1" applyFill="1" applyBorder="1" applyAlignment="1" applyProtection="1">
      <alignment horizontal="center" vertical="center"/>
      <protection locked="0" hidden="1"/>
    </xf>
    <xf numFmtId="180" fontId="7" fillId="8" borderId="6" xfId="0" applyNumberFormat="1" applyFont="1" applyFill="1" applyBorder="1" applyAlignment="1" applyProtection="1">
      <alignment horizontal="center" vertical="center"/>
      <protection locked="0" hidden="1"/>
    </xf>
    <xf numFmtId="0" fontId="7" fillId="8" borderId="2" xfId="0" applyFont="1" applyFill="1" applyBorder="1" applyAlignment="1" applyProtection="1">
      <alignment horizontal="center" vertical="center" shrinkToFit="1"/>
      <protection locked="0" hidden="1"/>
    </xf>
    <xf numFmtId="0" fontId="7" fillId="8" borderId="2" xfId="0" applyFont="1" applyFill="1" applyBorder="1" applyAlignment="1" applyProtection="1">
      <alignment horizontal="center" vertical="center"/>
      <protection locked="0" hidden="1"/>
    </xf>
    <xf numFmtId="177" fontId="7" fillId="2" borderId="1" xfId="0" applyNumberFormat="1" applyFont="1" applyFill="1" applyBorder="1" applyAlignment="1" applyProtection="1">
      <alignment horizontal="center" vertical="center"/>
      <protection locked="0" hidden="1"/>
    </xf>
    <xf numFmtId="49" fontId="5" fillId="0" borderId="9" xfId="0" applyNumberFormat="1" applyFont="1" applyFill="1" applyBorder="1" applyAlignment="1" applyProtection="1">
      <alignment horizontal="center" vertical="center" wrapText="1" shrinkToFit="1"/>
      <protection locked="0" hidden="1"/>
    </xf>
    <xf numFmtId="180" fontId="16" fillId="2" borderId="1" xfId="0" applyNumberFormat="1" applyFont="1" applyFill="1" applyBorder="1" applyAlignment="1" applyProtection="1">
      <alignment vertical="center" shrinkToFit="1"/>
      <protection locked="0" hidden="1"/>
    </xf>
    <xf numFmtId="49" fontId="17" fillId="2" borderId="1" xfId="0" applyNumberFormat="1" applyFont="1" applyFill="1" applyBorder="1" applyAlignment="1" applyProtection="1">
      <alignment horizontal="center" vertical="center" wrapText="1" shrinkToFit="1"/>
      <protection locked="0" hidden="1"/>
    </xf>
    <xf numFmtId="49" fontId="17" fillId="2" borderId="9" xfId="0" applyNumberFormat="1" applyFont="1" applyFill="1" applyBorder="1" applyAlignment="1" applyProtection="1">
      <alignment horizontal="center" vertical="center" wrapText="1" shrinkToFit="1"/>
      <protection locked="0" hidden="1"/>
    </xf>
    <xf numFmtId="49" fontId="17" fillId="2" borderId="6" xfId="0" applyNumberFormat="1" applyFont="1" applyFill="1" applyBorder="1" applyAlignment="1" applyProtection="1">
      <alignment horizontal="center" vertical="center" wrapText="1" shrinkToFit="1"/>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0" fillId="0" borderId="2" xfId="0" applyBorder="1" applyAlignment="1" applyProtection="1">
      <alignment horizontal="center" vertical="center"/>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3" fillId="6" borderId="2"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protection hidden="1"/>
    </xf>
    <xf numFmtId="0" fontId="22" fillId="6" borderId="10"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shrinkToFit="1"/>
      <protection hidden="1"/>
    </xf>
    <xf numFmtId="0" fontId="23" fillId="6" borderId="6" xfId="0"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1" fillId="0" borderId="2" xfId="0" applyNumberFormat="1" applyFont="1" applyFill="1" applyBorder="1" applyAlignment="1" applyProtection="1">
      <alignment horizontal="center" vertical="center" shrinkToFit="1"/>
      <protection locked="0" hidden="1"/>
    </xf>
    <xf numFmtId="176" fontId="17" fillId="2" borderId="2" xfId="0" applyNumberFormat="1" applyFont="1" applyFill="1" applyBorder="1" applyAlignment="1" applyProtection="1">
      <alignment vertical="center" wrapText="1" shrinkToFit="1"/>
      <protection locked="0" hidden="1"/>
    </xf>
    <xf numFmtId="183" fontId="21" fillId="0" borderId="2" xfId="0" applyNumberFormat="1" applyFont="1" applyFill="1" applyBorder="1" applyAlignment="1" applyProtection="1">
      <alignment vertical="center" shrinkToFit="1"/>
      <protection locked="0" hidden="1"/>
    </xf>
    <xf numFmtId="183" fontId="21" fillId="0" borderId="1" xfId="0" applyNumberFormat="1" applyFont="1" applyFill="1" applyBorder="1" applyAlignment="1" applyProtection="1">
      <alignment horizontal="center" vertical="center" shrinkToFit="1"/>
      <protection locked="0" hidden="1"/>
    </xf>
    <xf numFmtId="183" fontId="21" fillId="0" borderId="6" xfId="0" applyNumberFormat="1" applyFont="1" applyFill="1" applyBorder="1" applyAlignment="1" applyProtection="1">
      <alignment horizontal="center" vertical="center" shrinkToFit="1"/>
      <protection locked="0" hidden="1"/>
    </xf>
    <xf numFmtId="186" fontId="24" fillId="6" borderId="1" xfId="0" applyNumberFormat="1" applyFont="1" applyFill="1" applyBorder="1" applyAlignment="1" applyProtection="1">
      <alignment horizontal="center" vertical="center"/>
      <protection hidden="1"/>
    </xf>
    <xf numFmtId="186" fontId="24" fillId="6" borderId="9" xfId="0" applyNumberFormat="1" applyFont="1" applyFill="1" applyBorder="1" applyAlignment="1" applyProtection="1">
      <alignment horizontal="center" vertical="center"/>
      <protection hidden="1"/>
    </xf>
    <xf numFmtId="186" fontId="24" fillId="6" borderId="6" xfId="0" applyNumberFormat="1" applyFont="1" applyFill="1" applyBorder="1" applyAlignment="1" applyProtection="1">
      <alignment horizontal="center" vertical="center"/>
      <protection hidden="1"/>
    </xf>
    <xf numFmtId="186" fontId="20" fillId="6" borderId="1" xfId="0" applyNumberFormat="1" applyFont="1" applyFill="1" applyBorder="1" applyAlignment="1" applyProtection="1">
      <alignment horizontal="center" vertical="center"/>
      <protection hidden="1"/>
    </xf>
    <xf numFmtId="186" fontId="20" fillId="6" borderId="6" xfId="0" applyNumberFormat="1" applyFont="1" applyFill="1" applyBorder="1" applyAlignment="1" applyProtection="1">
      <alignment horizontal="center" vertical="center"/>
      <protection hidden="1"/>
    </xf>
    <xf numFmtId="183" fontId="23" fillId="6" borderId="2" xfId="0" applyNumberFormat="1" applyFont="1" applyFill="1" applyBorder="1" applyAlignment="1" applyProtection="1">
      <alignment horizontal="center" vertical="center" wrapText="1"/>
      <protection hidden="1"/>
    </xf>
    <xf numFmtId="183" fontId="23" fillId="6" borderId="1" xfId="0" applyNumberFormat="1" applyFont="1" applyFill="1" applyBorder="1" applyAlignment="1" applyProtection="1">
      <alignment horizontal="center" vertical="center" wrapText="1"/>
      <protection hidden="1"/>
    </xf>
    <xf numFmtId="183" fontId="23" fillId="6" borderId="6" xfId="0" applyNumberFormat="1" applyFont="1" applyFill="1" applyBorder="1" applyAlignment="1" applyProtection="1">
      <alignment horizontal="center" vertical="center" wrapText="1"/>
      <protection hidden="1"/>
    </xf>
    <xf numFmtId="177" fontId="24" fillId="6" borderId="2" xfId="0" applyNumberFormat="1" applyFont="1" applyFill="1" applyBorder="1" applyAlignment="1" applyProtection="1">
      <alignment horizontal="center" vertical="center"/>
      <protection hidden="1"/>
    </xf>
    <xf numFmtId="177" fontId="24" fillId="6" borderId="1" xfId="0" applyNumberFormat="1" applyFont="1" applyFill="1" applyBorder="1" applyAlignment="1" applyProtection="1">
      <alignment horizontal="center" vertical="center"/>
      <protection hidden="1"/>
    </xf>
    <xf numFmtId="177" fontId="24" fillId="6" borderId="6" xfId="0" applyNumberFormat="1" applyFont="1" applyFill="1" applyBorder="1" applyAlignment="1" applyProtection="1">
      <alignment horizontal="center" vertical="center"/>
      <protection hidden="1"/>
    </xf>
    <xf numFmtId="0" fontId="23" fillId="6" borderId="6" xfId="0" applyFont="1" applyFill="1" applyBorder="1" applyAlignment="1" applyProtection="1">
      <alignment horizontal="center" vertical="center"/>
      <protection hidden="1"/>
    </xf>
    <xf numFmtId="177" fontId="21" fillId="6" borderId="2" xfId="0" applyNumberFormat="1" applyFont="1" applyFill="1" applyBorder="1" applyAlignment="1" applyProtection="1">
      <alignment horizontal="center" vertical="center" wrapText="1"/>
      <protection hidden="1"/>
    </xf>
    <xf numFmtId="177" fontId="21" fillId="6" borderId="2" xfId="0" applyNumberFormat="1" applyFont="1" applyFill="1" applyBorder="1" applyAlignment="1" applyProtection="1">
      <alignment vertical="center" wrapText="1"/>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4" fillId="6" borderId="2" xfId="0" applyNumberFormat="1" applyFont="1" applyFill="1" applyBorder="1" applyAlignment="1" applyProtection="1">
      <alignment vertical="center"/>
      <protection hidden="1"/>
    </xf>
    <xf numFmtId="177" fontId="20" fillId="6" borderId="2" xfId="0" applyNumberFormat="1" applyFont="1" applyFill="1" applyBorder="1" applyAlignment="1" applyProtection="1">
      <alignment horizontal="center" vertical="center"/>
      <protection hidden="1"/>
    </xf>
    <xf numFmtId="183" fontId="22" fillId="6" borderId="6" xfId="0" applyNumberFormat="1" applyFont="1" applyFill="1" applyBorder="1" applyAlignment="1" applyProtection="1">
      <alignment horizontal="center" vertical="center" wrapText="1"/>
      <protection hidden="1"/>
    </xf>
    <xf numFmtId="177" fontId="20" fillId="6" borderId="1" xfId="0" applyNumberFormat="1" applyFont="1" applyFill="1" applyBorder="1" applyAlignment="1" applyProtection="1">
      <alignment horizontal="center" vertical="center"/>
      <protection hidden="1"/>
    </xf>
    <xf numFmtId="177" fontId="20" fillId="6" borderId="6" xfId="0" applyNumberFormat="1" applyFont="1" applyFill="1" applyBorder="1" applyAlignment="1" applyProtection="1">
      <alignment horizontal="center" vertical="center"/>
      <protection hidden="1"/>
    </xf>
    <xf numFmtId="180" fontId="7" fillId="8" borderId="2" xfId="0" applyNumberFormat="1" applyFont="1" applyFill="1" applyBorder="1" applyAlignment="1" applyProtection="1">
      <alignment horizontal="center" vertical="center"/>
      <protection locked="0" hidden="1"/>
    </xf>
    <xf numFmtId="0" fontId="7" fillId="8" borderId="2" xfId="0" applyFont="1" applyFill="1" applyBorder="1" applyProtection="1">
      <alignment vertical="center"/>
      <protection locked="0" hidden="1"/>
    </xf>
    <xf numFmtId="0" fontId="7" fillId="2" borderId="2" xfId="0" applyFont="1" applyFill="1" applyBorder="1" applyAlignment="1" applyProtection="1">
      <alignment vertical="center" wrapText="1" shrinkToFit="1"/>
      <protection locked="0" hidden="1"/>
    </xf>
    <xf numFmtId="177" fontId="23" fillId="6" borderId="1" xfId="0" applyNumberFormat="1"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shrinkToFit="1"/>
      <protection hidden="1"/>
    </xf>
    <xf numFmtId="0" fontId="23" fillId="6" borderId="9"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177" fontId="23" fillId="6" borderId="9" xfId="0" applyNumberFormat="1" applyFont="1" applyFill="1" applyBorder="1" applyAlignment="1" applyProtection="1">
      <alignment horizontal="center" vertical="center" shrinkToFit="1"/>
      <protection hidden="1"/>
    </xf>
    <xf numFmtId="0" fontId="22" fillId="6" borderId="2"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wrapText="1" shrinkToFit="1"/>
      <protection hidden="1"/>
    </xf>
    <xf numFmtId="177" fontId="22" fillId="6" borderId="6" xfId="0" applyNumberFormat="1" applyFont="1" applyFill="1" applyBorder="1" applyAlignment="1" applyProtection="1">
      <alignment horizontal="center" vertical="center" shrinkToFit="1"/>
      <protection hidden="1"/>
    </xf>
    <xf numFmtId="177" fontId="22" fillId="6" borderId="1"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5" fillId="6" borderId="2" xfId="0" applyFont="1" applyFill="1" applyBorder="1" applyAlignment="1" applyProtection="1">
      <alignment horizontal="left" vertical="center" wrapText="1"/>
      <protection hidden="1"/>
    </xf>
    <xf numFmtId="177" fontId="23" fillId="6" borderId="6"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vertical="center"/>
      <protection hidden="1"/>
    </xf>
    <xf numFmtId="177" fontId="23" fillId="6" borderId="1" xfId="0" applyNumberFormat="1" applyFont="1" applyFill="1" applyBorder="1" applyAlignment="1" applyProtection="1">
      <alignment horizontal="center" vertical="center" wrapText="1" shrinkToFit="1"/>
      <protection hidden="1"/>
    </xf>
    <xf numFmtId="177" fontId="23" fillId="6" borderId="6" xfId="0" applyNumberFormat="1" applyFont="1" applyFill="1" applyBorder="1" applyAlignment="1" applyProtection="1">
      <alignment horizontal="center" vertical="center" wrapText="1" shrinkToFit="1"/>
      <protection hidden="1"/>
    </xf>
    <xf numFmtId="177" fontId="23" fillId="6" borderId="9" xfId="0" applyNumberFormat="1" applyFont="1" applyFill="1" applyBorder="1" applyAlignment="1" applyProtection="1">
      <alignment horizontal="center" vertical="center" wrapText="1" shrinkToFit="1"/>
      <protection hidden="1"/>
    </xf>
    <xf numFmtId="186" fontId="13" fillId="6" borderId="2" xfId="0" applyNumberFormat="1" applyFont="1" applyFill="1" applyBorder="1" applyAlignment="1" applyProtection="1">
      <alignment horizontal="center" vertical="center"/>
      <protection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37"/>
  <sheetViews>
    <sheetView tabSelected="1" workbookViewId="0">
      <selection activeCell="P1" sqref="P$1:AJ$1048576"/>
    </sheetView>
  </sheetViews>
  <sheetFormatPr defaultColWidth="9" defaultRowHeight="14.25"/>
  <cols>
    <col min="1" max="1" width="11.125" style="28" customWidth="1"/>
    <col min="2" max="2" width="14.375" style="29" customWidth="1"/>
    <col min="3" max="3" width="7.25" style="30" customWidth="1"/>
    <col min="4" max="4" width="6.75" style="30" customWidth="1"/>
    <col min="5" max="5" width="12.125" style="30" customWidth="1"/>
    <col min="6" max="6" width="5.5" style="30" customWidth="1"/>
    <col min="7" max="7" width="11.5" style="30" customWidth="1"/>
    <col min="8" max="8" width="7.75" style="30" customWidth="1"/>
    <col min="9" max="9" width="8" style="30" customWidth="1"/>
    <col min="10" max="10" width="9.5" style="30" customWidth="1"/>
    <col min="11" max="11" width="8.75" style="30" customWidth="1"/>
    <col min="12" max="12" width="7" style="30" customWidth="1"/>
    <col min="13" max="13" width="8.375" style="30" customWidth="1"/>
    <col min="14" max="14" width="10.125" style="30" customWidth="1"/>
    <col min="15" max="15" width="10.25" style="31" customWidth="1"/>
    <col min="16" max="16" width="16" style="31" hidden="1" customWidth="1"/>
    <col min="17" max="17" width="13.375" style="31" hidden="1" customWidth="1"/>
    <col min="18" max="18" width="13.375" style="32" hidden="1" customWidth="1"/>
    <col min="19" max="19" width="11.125" style="31" hidden="1" customWidth="1"/>
    <col min="20" max="20" width="13.125" style="31" hidden="1" customWidth="1"/>
    <col min="21" max="21" width="11.375" style="31" hidden="1" customWidth="1"/>
    <col min="22" max="22" width="14.125" style="31" hidden="1" customWidth="1"/>
    <col min="23" max="23" width="14.375" style="31" hidden="1" customWidth="1"/>
    <col min="24" max="26" width="12" style="31" hidden="1" customWidth="1"/>
    <col min="27" max="27" width="13.125" style="31" hidden="1" customWidth="1"/>
    <col min="28" max="28" width="14.5" style="31" hidden="1" customWidth="1"/>
    <col min="29" max="29" width="16.375" style="31" hidden="1" customWidth="1"/>
    <col min="30" max="30" width="13.625" style="31" hidden="1" customWidth="1"/>
    <col min="31" max="31" width="12.875" style="31" hidden="1" customWidth="1"/>
    <col min="32" max="33" width="9" style="31" hidden="1" customWidth="1"/>
    <col min="34" max="35" width="11.875" style="31" hidden="1" customWidth="1"/>
    <col min="36" max="36" width="11.875" style="33" hidden="1" customWidth="1"/>
    <col min="37" max="37" width="9" style="34" customWidth="1"/>
    <col min="38" max="40" width="9" style="35" customWidth="1"/>
    <col min="41" max="60" width="9" style="35"/>
    <col min="61" max="71" width="9" style="28"/>
    <col min="72" max="72" width="9" style="29"/>
    <col min="73" max="16384" width="9" style="30"/>
  </cols>
  <sheetData>
    <row r="1" spans="1:60">
      <c r="A1" s="36"/>
      <c r="B1" s="37" t="s">
        <v>0</v>
      </c>
      <c r="C1" s="37" t="s">
        <v>1</v>
      </c>
      <c r="D1" s="38"/>
      <c r="E1" s="38"/>
      <c r="F1" s="38"/>
      <c r="G1" s="38"/>
      <c r="H1" s="38"/>
      <c r="I1" s="38"/>
      <c r="J1" s="38"/>
      <c r="K1" s="38"/>
      <c r="L1" s="38"/>
      <c r="M1" s="38"/>
      <c r="N1" s="38"/>
      <c r="O1" s="38"/>
      <c r="P1" s="99"/>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row>
    <row r="2" spans="1:60">
      <c r="A2" s="36"/>
      <c r="B2" s="37"/>
      <c r="C2" s="38" t="s">
        <v>2</v>
      </c>
      <c r="D2" s="38"/>
      <c r="E2" s="38"/>
      <c r="F2" s="38"/>
      <c r="G2" s="38"/>
      <c r="H2" s="38"/>
      <c r="I2" s="38"/>
      <c r="J2" s="38"/>
      <c r="K2" s="38"/>
      <c r="L2" s="38"/>
      <c r="M2" s="38"/>
      <c r="N2" s="38"/>
      <c r="O2" s="38"/>
      <c r="P2" s="99"/>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row>
    <row r="3" spans="1:60">
      <c r="A3" s="36"/>
      <c r="B3" s="37"/>
      <c r="C3" s="38" t="s">
        <v>3</v>
      </c>
      <c r="D3" s="38"/>
      <c r="E3" s="38"/>
      <c r="F3" s="38"/>
      <c r="G3" s="38"/>
      <c r="H3" s="38"/>
      <c r="I3" s="38"/>
      <c r="J3" s="38"/>
      <c r="K3" s="38"/>
      <c r="L3" s="38"/>
      <c r="M3" s="38"/>
      <c r="N3" s="38"/>
      <c r="O3" s="38"/>
      <c r="P3" s="99"/>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row>
    <row r="4" spans="1:60">
      <c r="A4" s="36"/>
      <c r="B4" s="37"/>
      <c r="C4" s="38" t="s">
        <v>4</v>
      </c>
      <c r="D4" s="38"/>
      <c r="E4" s="38"/>
      <c r="F4" s="38"/>
      <c r="G4" s="38"/>
      <c r="H4" s="38"/>
      <c r="I4" s="38"/>
      <c r="J4" s="38"/>
      <c r="K4" s="38"/>
      <c r="L4" s="38"/>
      <c r="M4" s="38"/>
      <c r="N4" s="38"/>
      <c r="O4" s="38"/>
      <c r="P4" s="99"/>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row>
    <row r="5" spans="1:60">
      <c r="A5" s="36"/>
      <c r="B5" s="37"/>
      <c r="C5" s="38" t="s">
        <v>5</v>
      </c>
      <c r="D5" s="38"/>
      <c r="E5" s="38"/>
      <c r="F5" s="38"/>
      <c r="G5" s="38"/>
      <c r="H5" s="38"/>
      <c r="I5" s="38"/>
      <c r="J5" s="38"/>
      <c r="K5" s="38"/>
      <c r="L5" s="38"/>
      <c r="M5" s="38"/>
      <c r="N5" s="38"/>
      <c r="O5" s="38"/>
      <c r="P5" s="99"/>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row>
    <row r="6" ht="23" customHeight="1" spans="1:60">
      <c r="A6" s="36"/>
      <c r="B6" s="39"/>
      <c r="C6" s="39"/>
      <c r="D6" s="39"/>
      <c r="E6" s="39"/>
      <c r="F6" s="39"/>
      <c r="G6" s="39"/>
      <c r="H6" s="39"/>
      <c r="I6" s="39"/>
      <c r="J6" s="39"/>
      <c r="K6" s="39"/>
      <c r="L6" s="39"/>
      <c r="M6" s="39"/>
      <c r="N6" s="39"/>
      <c r="O6" s="100"/>
      <c r="P6" s="101"/>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row>
    <row r="7" ht="79" customHeight="1" spans="1:60">
      <c r="A7" s="36"/>
      <c r="B7" s="40" t="s">
        <v>6</v>
      </c>
      <c r="C7" s="40"/>
      <c r="D7" s="40"/>
      <c r="E7" s="40"/>
      <c r="F7" s="40"/>
      <c r="G7" s="40"/>
      <c r="H7" s="40"/>
      <c r="I7" s="40"/>
      <c r="J7" s="40"/>
      <c r="K7" s="40"/>
      <c r="L7" s="40"/>
      <c r="M7" s="40"/>
      <c r="N7" s="40"/>
      <c r="O7" s="40"/>
      <c r="P7" s="102"/>
      <c r="Q7" s="99"/>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row>
    <row r="8" ht="31" customHeight="1" spans="1:60">
      <c r="A8" s="36"/>
      <c r="B8" s="40"/>
      <c r="C8" s="40"/>
      <c r="D8" s="40"/>
      <c r="E8" s="40"/>
      <c r="F8" s="40"/>
      <c r="G8" s="40"/>
      <c r="H8" s="40"/>
      <c r="I8" s="40"/>
      <c r="J8" s="40"/>
      <c r="K8" s="40"/>
      <c r="L8" s="40"/>
      <c r="M8" s="40"/>
      <c r="N8" s="40"/>
      <c r="O8" s="40"/>
      <c r="P8" s="103"/>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row>
    <row r="9" ht="21" customHeight="1" spans="1:60">
      <c r="A9" s="36"/>
      <c r="B9" s="41"/>
      <c r="C9" s="41"/>
      <c r="D9" s="41"/>
      <c r="E9" s="41"/>
      <c r="F9" s="41"/>
      <c r="G9" s="42"/>
      <c r="H9" s="42"/>
      <c r="I9" s="104" t="s">
        <v>7</v>
      </c>
      <c r="J9" s="104"/>
      <c r="K9" s="41"/>
      <c r="L9" s="41"/>
      <c r="M9" s="41"/>
      <c r="N9" s="41"/>
      <c r="O9" s="100"/>
      <c r="P9" s="99"/>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row>
    <row r="10" ht="8" customHeight="1" spans="1:60">
      <c r="A10" s="36"/>
      <c r="B10" s="43"/>
      <c r="C10" s="44"/>
      <c r="D10" s="44"/>
      <c r="E10" s="44"/>
      <c r="F10" s="44"/>
      <c r="G10" s="44"/>
      <c r="H10" s="44"/>
      <c r="I10" s="44"/>
      <c r="J10" s="44"/>
      <c r="K10" s="44"/>
      <c r="L10" s="44"/>
      <c r="M10" s="44"/>
      <c r="N10" s="44"/>
      <c r="O10" s="100"/>
      <c r="P10" s="99"/>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row>
    <row r="11" ht="15" customHeight="1" spans="1:60">
      <c r="A11" s="36"/>
      <c r="B11" s="43"/>
      <c r="C11" s="44"/>
      <c r="D11" s="44"/>
      <c r="E11" s="44"/>
      <c r="F11" s="44"/>
      <c r="G11" s="44"/>
      <c r="H11" s="44"/>
      <c r="I11" s="44"/>
      <c r="J11" s="44"/>
      <c r="K11" s="44"/>
      <c r="L11" s="44"/>
      <c r="M11" s="44"/>
      <c r="N11" s="44"/>
      <c r="O11" s="100"/>
      <c r="P11" s="99"/>
      <c r="AK11" s="130"/>
      <c r="AL11" s="130"/>
      <c r="AM11" s="130"/>
      <c r="AN11" s="130"/>
      <c r="AO11" s="130"/>
      <c r="AP11" s="130"/>
      <c r="AQ11" s="130"/>
      <c r="AR11" s="130"/>
      <c r="AS11" s="130"/>
      <c r="AT11" s="130"/>
      <c r="AU11" s="130"/>
      <c r="AV11" s="130"/>
      <c r="AW11" s="130"/>
      <c r="AX11" s="130"/>
      <c r="AY11" s="130"/>
      <c r="AZ11" s="130"/>
      <c r="BA11" s="130"/>
      <c r="BB11" s="130"/>
      <c r="BC11" s="130"/>
      <c r="BD11" s="130"/>
      <c r="BE11" s="130"/>
      <c r="BF11" s="130"/>
      <c r="BG11" s="130"/>
      <c r="BH11" s="130"/>
    </row>
    <row r="12" ht="15" customHeight="1" spans="1:60">
      <c r="A12" s="36"/>
      <c r="B12" s="43"/>
      <c r="C12" s="44"/>
      <c r="D12" s="44"/>
      <c r="E12" s="44"/>
      <c r="F12" s="44"/>
      <c r="G12" s="44"/>
      <c r="H12" s="44"/>
      <c r="I12" s="44"/>
      <c r="J12" s="44"/>
      <c r="K12" s="44"/>
      <c r="L12" s="44"/>
      <c r="M12" s="44"/>
      <c r="N12" s="44"/>
      <c r="O12" s="100"/>
      <c r="P12" s="99"/>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row>
    <row r="13" ht="15" customHeight="1" spans="1:60">
      <c r="A13" s="36"/>
      <c r="B13" s="43"/>
      <c r="C13" s="44"/>
      <c r="D13" s="44"/>
      <c r="E13" s="44"/>
      <c r="F13" s="44"/>
      <c r="G13" s="44"/>
      <c r="H13" s="44"/>
      <c r="I13" s="44"/>
      <c r="J13" s="44"/>
      <c r="K13" s="44"/>
      <c r="L13" s="44"/>
      <c r="M13" s="44"/>
      <c r="N13" s="44"/>
      <c r="O13" s="100"/>
      <c r="P13" s="99"/>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row>
    <row r="14" ht="28" customHeight="1" spans="1:60">
      <c r="A14" s="36"/>
      <c r="B14" s="43"/>
      <c r="C14" s="43"/>
      <c r="D14" s="45"/>
      <c r="E14" s="46" t="s">
        <v>8</v>
      </c>
      <c r="F14" s="46"/>
      <c r="G14" s="46"/>
      <c r="H14" s="47"/>
      <c r="I14" s="47"/>
      <c r="J14" s="47"/>
      <c r="K14" s="47"/>
      <c r="L14" s="43"/>
      <c r="M14" s="43"/>
      <c r="N14" s="43"/>
      <c r="O14" s="105"/>
      <c r="P14" s="99"/>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row>
    <row r="15" ht="28" customHeight="1" spans="1:60">
      <c r="A15" s="36"/>
      <c r="B15" s="43"/>
      <c r="C15" s="43"/>
      <c r="D15" s="39"/>
      <c r="E15" s="46" t="s">
        <v>9</v>
      </c>
      <c r="F15" s="46"/>
      <c r="G15" s="46"/>
      <c r="H15" s="47"/>
      <c r="I15" s="47"/>
      <c r="J15" s="47"/>
      <c r="K15" s="47"/>
      <c r="L15" s="43"/>
      <c r="M15" s="43"/>
      <c r="N15" s="43"/>
      <c r="O15" s="105"/>
      <c r="P15" s="99"/>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row>
    <row r="16" ht="28" customHeight="1" spans="1:60">
      <c r="A16" s="36"/>
      <c r="B16" s="43"/>
      <c r="C16" s="43"/>
      <c r="D16" s="48"/>
      <c r="E16" s="49" t="s">
        <v>10</v>
      </c>
      <c r="F16" s="49"/>
      <c r="G16" s="49"/>
      <c r="H16" s="50" t="s">
        <v>11</v>
      </c>
      <c r="I16" s="50"/>
      <c r="J16" s="50"/>
      <c r="K16" s="50"/>
      <c r="L16" s="43"/>
      <c r="M16" s="43"/>
      <c r="N16" s="43"/>
      <c r="O16" s="105"/>
      <c r="P16" s="99"/>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row>
    <row r="17" ht="28" customHeight="1" spans="1:60">
      <c r="A17" s="36"/>
      <c r="B17" s="43"/>
      <c r="C17" s="43"/>
      <c r="D17" s="48"/>
      <c r="E17" s="49" t="s">
        <v>12</v>
      </c>
      <c r="F17" s="49"/>
      <c r="G17" s="49"/>
      <c r="H17" s="50" t="s">
        <v>13</v>
      </c>
      <c r="I17" s="50"/>
      <c r="J17" s="50"/>
      <c r="K17" s="50"/>
      <c r="L17" s="43"/>
      <c r="M17" s="43"/>
      <c r="N17" s="43"/>
      <c r="O17" s="105"/>
      <c r="P17" s="99"/>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row>
    <row r="18" ht="28" customHeight="1" spans="1:60">
      <c r="A18" s="36"/>
      <c r="B18" s="43"/>
      <c r="C18" s="43"/>
      <c r="D18" s="48"/>
      <c r="E18" s="49" t="s">
        <v>14</v>
      </c>
      <c r="F18" s="49"/>
      <c r="G18" s="49"/>
      <c r="H18" s="50" t="s">
        <v>15</v>
      </c>
      <c r="I18" s="50"/>
      <c r="J18" s="50"/>
      <c r="K18" s="50"/>
      <c r="L18" s="43"/>
      <c r="M18" s="43"/>
      <c r="N18" s="43"/>
      <c r="O18" s="105"/>
      <c r="P18" s="99"/>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row>
    <row r="19" ht="28" customHeight="1" spans="1:60">
      <c r="A19" s="36"/>
      <c r="B19" s="43"/>
      <c r="C19" s="43"/>
      <c r="D19" s="45"/>
      <c r="E19" s="46" t="s">
        <v>16</v>
      </c>
      <c r="F19" s="46"/>
      <c r="G19" s="46"/>
      <c r="H19" s="50" t="s">
        <v>17</v>
      </c>
      <c r="I19" s="50"/>
      <c r="J19" s="50"/>
      <c r="K19" s="50"/>
      <c r="L19" s="43"/>
      <c r="M19" s="43"/>
      <c r="N19" s="43"/>
      <c r="O19" s="105"/>
      <c r="P19" s="99"/>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row>
    <row r="20" ht="28" customHeight="1" spans="1:60">
      <c r="A20" s="36"/>
      <c r="B20" s="43"/>
      <c r="C20" s="43"/>
      <c r="D20" s="45"/>
      <c r="E20" s="46" t="s">
        <v>18</v>
      </c>
      <c r="F20" s="46"/>
      <c r="G20" s="46"/>
      <c r="H20" s="51"/>
      <c r="I20" s="51"/>
      <c r="J20" s="51"/>
      <c r="K20" s="51"/>
      <c r="L20" s="43"/>
      <c r="M20" s="43"/>
      <c r="N20" s="43"/>
      <c r="O20" s="105"/>
      <c r="P20" s="99"/>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row>
    <row r="21" ht="30" customHeight="1" spans="1:60">
      <c r="A21" s="36"/>
      <c r="B21" s="43"/>
      <c r="C21" s="43"/>
      <c r="D21" s="45"/>
      <c r="E21" s="45"/>
      <c r="F21" s="45"/>
      <c r="G21" s="52"/>
      <c r="H21" s="52"/>
      <c r="I21" s="52"/>
      <c r="J21" s="106"/>
      <c r="K21" s="107"/>
      <c r="L21" s="107"/>
      <c r="M21" s="43"/>
      <c r="N21" s="43"/>
      <c r="O21" s="105"/>
      <c r="P21" s="99"/>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row>
    <row r="22" ht="19.5" customHeight="1" spans="1:60">
      <c r="A22" s="36"/>
      <c r="B22" s="53"/>
      <c r="C22" s="53"/>
      <c r="D22" s="54"/>
      <c r="E22" s="54"/>
      <c r="F22" s="54"/>
      <c r="G22" s="55"/>
      <c r="H22" s="55"/>
      <c r="I22" s="55"/>
      <c r="J22" s="106"/>
      <c r="K22" s="108"/>
      <c r="L22" s="108"/>
      <c r="M22" s="43"/>
      <c r="N22" s="43"/>
      <c r="O22" s="100"/>
      <c r="P22" s="99"/>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row>
    <row r="23" ht="21" customHeight="1" spans="1:60">
      <c r="A23" s="36"/>
      <c r="B23" s="56" t="s">
        <v>19</v>
      </c>
      <c r="C23" s="56"/>
      <c r="D23" s="56"/>
      <c r="E23" s="56"/>
      <c r="F23" s="56"/>
      <c r="G23" s="56"/>
      <c r="H23" s="56"/>
      <c r="I23" s="56"/>
      <c r="J23" s="56"/>
      <c r="K23" s="56"/>
      <c r="L23" s="56"/>
      <c r="M23" s="56"/>
      <c r="N23" s="56"/>
      <c r="O23" s="56"/>
      <c r="P23" s="99"/>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row>
    <row r="24" ht="15" customHeight="1" spans="1:60">
      <c r="A24" s="36"/>
      <c r="B24" s="57"/>
      <c r="C24" s="58"/>
      <c r="D24" s="58"/>
      <c r="E24" s="57"/>
      <c r="F24" s="59"/>
      <c r="G24" s="57"/>
      <c r="H24" s="60"/>
      <c r="I24" s="60"/>
      <c r="J24" s="109"/>
      <c r="K24" s="110"/>
      <c r="L24" s="110"/>
      <c r="M24" s="111"/>
      <c r="N24" s="111"/>
      <c r="O24" s="102"/>
      <c r="P24" s="99"/>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row>
    <row r="25" ht="29.3" customHeight="1" spans="1:60">
      <c r="A25" s="36"/>
      <c r="B25" s="61" t="s">
        <v>20</v>
      </c>
      <c r="C25" s="62">
        <f>H15</f>
        <v>0</v>
      </c>
      <c r="D25" s="63"/>
      <c r="E25" s="61" t="s">
        <v>21</v>
      </c>
      <c r="F25" s="64"/>
      <c r="G25" s="65"/>
      <c r="H25" s="66" t="s">
        <v>22</v>
      </c>
      <c r="I25" s="112"/>
      <c r="J25" s="113"/>
      <c r="K25" s="113"/>
      <c r="L25" s="61" t="s">
        <v>23</v>
      </c>
      <c r="M25" s="61"/>
      <c r="N25" s="114" t="str">
        <f ca="1">IF(J25&lt;&gt;"",DATEDIF(J25,TODAY(),"y"),"")</f>
        <v/>
      </c>
      <c r="O25" s="112"/>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row>
    <row r="26" ht="29.3" customHeight="1" spans="1:60">
      <c r="A26" s="36"/>
      <c r="B26" s="67" t="s">
        <v>24</v>
      </c>
      <c r="C26" s="67"/>
      <c r="D26" s="64"/>
      <c r="E26" s="68"/>
      <c r="F26" s="67" t="s">
        <v>25</v>
      </c>
      <c r="G26" s="67"/>
      <c r="H26" s="69"/>
      <c r="I26" s="115"/>
      <c r="J26" s="116" t="s">
        <v>26</v>
      </c>
      <c r="K26" s="112"/>
      <c r="L26" s="117"/>
      <c r="M26" s="117"/>
      <c r="N26" s="117"/>
      <c r="O26" s="117"/>
      <c r="P26" s="118" t="s">
        <v>27</v>
      </c>
      <c r="Q26" s="118" t="s">
        <v>28</v>
      </c>
      <c r="R26" s="127"/>
      <c r="S26" s="118"/>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row>
    <row r="27" ht="29.3" customHeight="1" spans="1:60">
      <c r="A27" s="36"/>
      <c r="B27" s="66" t="s">
        <v>29</v>
      </c>
      <c r="C27" s="70"/>
      <c r="D27" s="71"/>
      <c r="E27" s="72"/>
      <c r="F27" s="67" t="s">
        <v>30</v>
      </c>
      <c r="G27" s="67"/>
      <c r="H27" s="73" t="str">
        <f ca="1">IF(D27&lt;&gt;"",IF(MONTH(D27)&gt;MONTH(TODAY()),YEAR(TODAY())-YEAR(D27),YEAR(TODAY())+1-YEAR(D27)),"")</f>
        <v/>
      </c>
      <c r="I27" s="119" t="str">
        <f>IF(D27&lt;&gt;"","年","")</f>
        <v/>
      </c>
      <c r="J27" s="114" t="s">
        <v>31</v>
      </c>
      <c r="K27" s="112"/>
      <c r="L27" s="114" t="str">
        <f>IF(H14&lt;&gt;"",H14,"")</f>
        <v/>
      </c>
      <c r="M27" s="116"/>
      <c r="N27" s="116"/>
      <c r="O27" s="112"/>
      <c r="P27" s="32" t="str">
        <f ca="1">IF(OR(D26="博士",AND(D26="硕士",AND(H27&lt;&gt;"",H27&gt;=5)),AND(OR(D26="学士",D26="无学位（本科毕业）"),AND(H27&lt;&gt;"",H27&gt;=7))),"满足","不满足")</f>
        <v>不满足</v>
      </c>
      <c r="Q27" s="32" t="str">
        <f ca="1">IF(OR(AND(D26="博士",AND(N28&lt;&gt;"",N28&gt;=5)),AND(D26="硕士",AND(N28&lt;&gt;"",N28&gt;=5)),AND(N28&lt;&gt;"",N28&gt;=6)),"满足","不满足")</f>
        <v>不满足</v>
      </c>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row>
    <row r="28" ht="29.3" customHeight="1" spans="1:60">
      <c r="A28" s="36"/>
      <c r="B28" s="61" t="s">
        <v>32</v>
      </c>
      <c r="C28" s="61"/>
      <c r="D28" s="61" t="str">
        <f>H16</f>
        <v>副教授</v>
      </c>
      <c r="E28" s="61"/>
      <c r="F28" s="61"/>
      <c r="G28" s="61" t="s">
        <v>33</v>
      </c>
      <c r="H28" s="61"/>
      <c r="I28" s="120"/>
      <c r="J28" s="120"/>
      <c r="K28" s="61" t="s">
        <v>28</v>
      </c>
      <c r="L28" s="61"/>
      <c r="M28" s="61"/>
      <c r="N28" s="121" t="str">
        <f ca="1">IF(I28&lt;&gt;"",IF(MONTH(I28)&gt;MONTH(TODAY()),YEAR(TODAY())-YEAR(I28),YEAR(TODAY())+1-YEAR(I28)),"")</f>
        <v/>
      </c>
      <c r="O28" s="119" t="str">
        <f ca="1">IF(N28&lt;&gt;"","年","")</f>
        <v/>
      </c>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row>
    <row r="29" ht="29.3" customHeight="1" spans="1:60">
      <c r="A29" s="36"/>
      <c r="B29" s="61" t="s">
        <v>34</v>
      </c>
      <c r="C29" s="61"/>
      <c r="D29" s="74"/>
      <c r="E29" s="75"/>
      <c r="F29" s="75"/>
      <c r="G29" s="75"/>
      <c r="H29" s="76"/>
      <c r="I29" s="61" t="s">
        <v>35</v>
      </c>
      <c r="J29" s="61"/>
      <c r="K29" s="74"/>
      <c r="L29" s="75"/>
      <c r="M29" s="75"/>
      <c r="N29" s="75"/>
      <c r="O29" s="76"/>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row>
    <row r="30" ht="29.3" customHeight="1" spans="1:60">
      <c r="A30" s="36"/>
      <c r="B30" s="77" t="s">
        <v>36</v>
      </c>
      <c r="C30" s="77"/>
      <c r="D30" s="77"/>
      <c r="E30" s="77"/>
      <c r="F30" s="77"/>
      <c r="G30" s="77"/>
      <c r="H30" s="77"/>
      <c r="I30" s="77"/>
      <c r="J30" s="77"/>
      <c r="K30" s="77"/>
      <c r="L30" s="77"/>
      <c r="M30" s="77"/>
      <c r="N30" s="77"/>
      <c r="O30" s="77"/>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row>
    <row r="31" ht="29.3" customHeight="1" spans="1:60">
      <c r="A31" s="36"/>
      <c r="B31" s="67" t="s">
        <v>37</v>
      </c>
      <c r="C31" s="78" t="str">
        <f ca="1">CONCATENATE(YEAR(TODAY())-3,"年度下半年")</f>
        <v>2020年度下半年</v>
      </c>
      <c r="D31" s="79"/>
      <c r="E31" s="80" t="str">
        <f ca="1">CONCATENATE(YEAR(TODAY())-2,"年度上半年")</f>
        <v>2021年度上半年</v>
      </c>
      <c r="F31" s="78" t="str">
        <f ca="1">CONCATENATE(YEAR(TODAY())-2,"年度下半年")</f>
        <v>2021年度下半年</v>
      </c>
      <c r="G31" s="81"/>
      <c r="H31" s="78" t="str">
        <f ca="1">CONCATENATE(YEAR(TODAY())-1,"年度上半年")</f>
        <v>2022年度上半年</v>
      </c>
      <c r="I31" s="81"/>
      <c r="J31" s="61" t="str">
        <f ca="1">CONCATENATE(YEAR(TODAY())-1,"年度下半年")</f>
        <v>2022年度下半年</v>
      </c>
      <c r="K31" s="61"/>
      <c r="L31" s="116" t="str">
        <f ca="1">CONCATENATE(YEAR(TODAY()),"年度上半年")</f>
        <v>2023年度上半年</v>
      </c>
      <c r="M31" s="112"/>
      <c r="N31" s="61" t="s">
        <v>38</v>
      </c>
      <c r="O31" s="61" t="s">
        <v>39</v>
      </c>
      <c r="P31" s="32" t="s">
        <v>40</v>
      </c>
      <c r="Q31" s="32" t="s">
        <v>41</v>
      </c>
      <c r="R31" s="32" t="s">
        <v>42</v>
      </c>
      <c r="S31" s="32" t="s">
        <v>43</v>
      </c>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row>
    <row r="32" ht="29.3" customHeight="1" spans="1:60">
      <c r="A32" s="36"/>
      <c r="B32" s="61"/>
      <c r="C32" s="82"/>
      <c r="D32" s="83"/>
      <c r="E32" s="84"/>
      <c r="F32" s="82"/>
      <c r="G32" s="83"/>
      <c r="H32" s="82"/>
      <c r="I32" s="83"/>
      <c r="J32" s="82"/>
      <c r="K32" s="83"/>
      <c r="L32" s="82"/>
      <c r="M32" s="83"/>
      <c r="N32" s="122"/>
      <c r="O32" s="122"/>
      <c r="P32" s="32">
        <f>COUNTIF(C32:M32,"A档")</f>
        <v>0</v>
      </c>
      <c r="Q32" s="32">
        <f>COUNTIF(C32:M32,"B档")</f>
        <v>0</v>
      </c>
      <c r="R32" s="32">
        <f>COUNTIF(C32:M32,"C档")</f>
        <v>0</v>
      </c>
      <c r="S32" s="32">
        <f>COUNTIF(C32:M32,"D档")</f>
        <v>0</v>
      </c>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row>
    <row r="33" ht="29.3" customHeight="1" spans="1:60">
      <c r="A33" s="36"/>
      <c r="B33" s="67" t="s">
        <v>44</v>
      </c>
      <c r="C33" s="78" t="s">
        <v>45</v>
      </c>
      <c r="D33" s="79"/>
      <c r="E33" s="79"/>
      <c r="F33" s="85"/>
      <c r="G33" s="78" t="s">
        <v>46</v>
      </c>
      <c r="H33" s="79"/>
      <c r="I33" s="85"/>
      <c r="J33" s="78" t="s">
        <v>47</v>
      </c>
      <c r="K33" s="79"/>
      <c r="L33" s="79"/>
      <c r="M33" s="85"/>
      <c r="N33" s="61" t="s">
        <v>38</v>
      </c>
      <c r="O33" s="61" t="s">
        <v>39</v>
      </c>
      <c r="P33" s="32" t="s">
        <v>48</v>
      </c>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row>
    <row r="34" ht="29.3" customHeight="1" spans="1:60">
      <c r="A34" s="36"/>
      <c r="B34" s="67"/>
      <c r="C34" s="84"/>
      <c r="D34" s="84"/>
      <c r="E34" s="84"/>
      <c r="F34" s="84"/>
      <c r="G34" s="84"/>
      <c r="H34" s="84"/>
      <c r="I34" s="84"/>
      <c r="J34" s="84"/>
      <c r="K34" s="84"/>
      <c r="L34" s="84"/>
      <c r="M34" s="84"/>
      <c r="N34" s="122"/>
      <c r="O34" s="122"/>
      <c r="P34" s="32">
        <f>COUNTA(C34:F36)</f>
        <v>0</v>
      </c>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row>
    <row r="35" ht="29.3" customHeight="1" spans="1:60">
      <c r="A35" s="36"/>
      <c r="B35" s="67"/>
      <c r="C35" s="82"/>
      <c r="D35" s="86"/>
      <c r="E35" s="86"/>
      <c r="F35" s="83"/>
      <c r="G35" s="82"/>
      <c r="H35" s="86"/>
      <c r="I35" s="83"/>
      <c r="J35" s="82"/>
      <c r="K35" s="86"/>
      <c r="L35" s="86"/>
      <c r="M35" s="83"/>
      <c r="N35" s="122"/>
      <c r="O35" s="122"/>
      <c r="AK35" s="130"/>
      <c r="AL35" s="130"/>
      <c r="AM35" s="130"/>
      <c r="AN35" s="130"/>
      <c r="AO35" s="130"/>
      <c r="AP35" s="130"/>
      <c r="AQ35" s="130"/>
      <c r="AR35" s="130"/>
      <c r="AS35" s="130"/>
      <c r="AT35" s="130"/>
      <c r="AU35" s="130"/>
      <c r="AV35" s="130"/>
      <c r="AW35" s="130"/>
      <c r="AX35" s="130"/>
      <c r="AY35" s="130"/>
      <c r="AZ35" s="130"/>
      <c r="BA35" s="130"/>
      <c r="BB35" s="130"/>
      <c r="BC35" s="130"/>
      <c r="BD35" s="130"/>
      <c r="BE35" s="130"/>
      <c r="BF35" s="130"/>
      <c r="BG35" s="130"/>
      <c r="BH35" s="130"/>
    </row>
    <row r="36" ht="29.3" customHeight="1" spans="1:60">
      <c r="A36" s="36"/>
      <c r="B36" s="67"/>
      <c r="C36" s="82"/>
      <c r="D36" s="86"/>
      <c r="E36" s="86"/>
      <c r="F36" s="83"/>
      <c r="G36" s="82"/>
      <c r="H36" s="86"/>
      <c r="I36" s="83"/>
      <c r="J36" s="82"/>
      <c r="K36" s="86"/>
      <c r="L36" s="86"/>
      <c r="M36" s="83"/>
      <c r="N36" s="122"/>
      <c r="O36" s="122"/>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row>
    <row r="37" ht="29.3" customHeight="1" spans="1:60">
      <c r="A37" s="36"/>
      <c r="B37" s="67" t="s">
        <v>49</v>
      </c>
      <c r="C37" s="87" t="str">
        <f ca="1">CONCATENATE(YEAR(TODAY())-3,"-",YEAR(TODAY())-2,"学年")</f>
        <v>2020-2021学年</v>
      </c>
      <c r="D37" s="87"/>
      <c r="E37" s="87"/>
      <c r="F37" s="87"/>
      <c r="G37" s="79" t="str">
        <f ca="1">CONCATENATE(YEAR(TODAY())-2,"-",YEAR(TODAY())-1,"学年")</f>
        <v>2021-2022学年</v>
      </c>
      <c r="H37" s="79"/>
      <c r="I37" s="85"/>
      <c r="J37" s="114" t="str">
        <f ca="1">CONCATENATE(YEAR(TODAY())-1,"-",YEAR(TODAY()),"学年")</f>
        <v>2022-2023学年</v>
      </c>
      <c r="K37" s="116"/>
      <c r="L37" s="112"/>
      <c r="M37" s="67" t="s">
        <v>50</v>
      </c>
      <c r="N37" s="61" t="s">
        <v>38</v>
      </c>
      <c r="O37" s="61" t="s">
        <v>39</v>
      </c>
      <c r="P37" s="32" t="s">
        <v>51</v>
      </c>
      <c r="Q37" s="128" t="s">
        <v>52</v>
      </c>
      <c r="R37" s="129"/>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row>
    <row r="38" ht="29.3" customHeight="1" spans="1:60">
      <c r="A38" s="36"/>
      <c r="B38" s="61"/>
      <c r="C38" s="82"/>
      <c r="D38" s="86"/>
      <c r="E38" s="86"/>
      <c r="F38" s="83"/>
      <c r="G38" s="82"/>
      <c r="H38" s="86"/>
      <c r="I38" s="83"/>
      <c r="J38" s="82"/>
      <c r="K38" s="86"/>
      <c r="L38" s="83"/>
      <c r="M38" s="123">
        <f>IF(SUM(C38:L38)&lt;&gt;0,SUM(C38:L38)/3,0)</f>
        <v>0</v>
      </c>
      <c r="N38" s="122"/>
      <c r="O38" s="122"/>
      <c r="P38" s="32">
        <f>IF(K29&lt;&gt;"",IF(K29="专任教师",ROUNDDOWN((M38+M40-360)/30,0),ROUNDDOWN((M38+M40)/30,0)),0)</f>
        <v>0</v>
      </c>
      <c r="Q38" s="128" t="str">
        <f>IF(OR((M38+M40)&gt;=360,K29="二级教学单位负责人",K29="“双肩挑”人员",K29="非教学单位人员"),"满足","不满足")</f>
        <v>不满足</v>
      </c>
      <c r="R38" s="129"/>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row>
    <row r="39" ht="29.3" customHeight="1" spans="1:60">
      <c r="A39" s="36"/>
      <c r="B39" s="67" t="s">
        <v>53</v>
      </c>
      <c r="C39" s="87" t="str">
        <f ca="1">CONCATENATE(YEAR(TODAY())-3,"-",YEAR(TODAY())-2,"学年")</f>
        <v>2020-2021学年</v>
      </c>
      <c r="D39" s="87"/>
      <c r="E39" s="87"/>
      <c r="F39" s="87"/>
      <c r="G39" s="79" t="str">
        <f ca="1">CONCATENATE(YEAR(TODAY())-2,"-",YEAR(TODAY())-1,"学年")</f>
        <v>2021-2022学年</v>
      </c>
      <c r="H39" s="79"/>
      <c r="I39" s="85"/>
      <c r="J39" s="114" t="str">
        <f ca="1">CONCATENATE(YEAR(TODAY())-1,"-",YEAR(TODAY()),"学年")</f>
        <v>2022-2023学年</v>
      </c>
      <c r="K39" s="116"/>
      <c r="L39" s="112"/>
      <c r="M39" s="67" t="s">
        <v>50</v>
      </c>
      <c r="N39" s="61" t="s">
        <v>38</v>
      </c>
      <c r="O39" s="61" t="s">
        <v>39</v>
      </c>
      <c r="P39" s="32"/>
      <c r="Q39" s="128"/>
      <c r="R39" s="129"/>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row>
    <row r="40" ht="29.3" customHeight="1" spans="1:60">
      <c r="A40" s="36"/>
      <c r="B40" s="61"/>
      <c r="C40" s="82"/>
      <c r="D40" s="86"/>
      <c r="E40" s="86"/>
      <c r="F40" s="83"/>
      <c r="G40" s="82"/>
      <c r="H40" s="86"/>
      <c r="I40" s="83"/>
      <c r="J40" s="82"/>
      <c r="K40" s="86"/>
      <c r="L40" s="83"/>
      <c r="M40" s="123">
        <f>IF(SUM(C40:L40)&lt;&gt;0,SUM(C40:L40)/3,0)</f>
        <v>0</v>
      </c>
      <c r="N40" s="122"/>
      <c r="O40" s="122"/>
      <c r="P40" s="32"/>
      <c r="Q40" s="128"/>
      <c r="R40" s="129"/>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row>
    <row r="41" ht="29.3" customHeight="1" spans="1:60">
      <c r="A41" s="36"/>
      <c r="B41" s="67" t="s">
        <v>54</v>
      </c>
      <c r="C41" s="88" t="str">
        <f ca="1">CONCATENATE(YEAR(TODAY())-5,"年")</f>
        <v>2018年</v>
      </c>
      <c r="D41" s="89"/>
      <c r="E41" s="88" t="str">
        <f ca="1">CONCATENATE(YEAR(TODAY())-4,"年")</f>
        <v>2019年</v>
      </c>
      <c r="F41" s="89"/>
      <c r="G41" s="78" t="str">
        <f ca="1">CONCATENATE(YEAR(TODAY())-3,"年")</f>
        <v>2020年</v>
      </c>
      <c r="H41" s="85"/>
      <c r="I41" s="114" t="str">
        <f ca="1">CONCATENATE(YEAR(TODAY())-2,"年")</f>
        <v>2021年</v>
      </c>
      <c r="J41" s="124"/>
      <c r="K41" s="114" t="str">
        <f ca="1">CONCATENATE(YEAR(TODAY())-1,"(",CONCATENATE(YEAR(TODAY()),"年"),")","年")</f>
        <v>2022(2023年)年</v>
      </c>
      <c r="L41" s="112"/>
      <c r="M41" s="67" t="s">
        <v>55</v>
      </c>
      <c r="N41" s="61" t="s">
        <v>38</v>
      </c>
      <c r="O41" s="61" t="s">
        <v>39</v>
      </c>
      <c r="P41" s="32" t="s">
        <v>56</v>
      </c>
      <c r="Q41" s="128" t="s">
        <v>57</v>
      </c>
      <c r="R41" s="129"/>
      <c r="AK41" s="130"/>
      <c r="AL41" s="130"/>
      <c r="AM41" s="130"/>
      <c r="AN41" s="130"/>
      <c r="AO41" s="130"/>
      <c r="AP41" s="130"/>
      <c r="AQ41" s="130"/>
      <c r="AR41" s="130"/>
      <c r="AS41" s="130"/>
      <c r="AT41" s="130"/>
      <c r="AU41" s="130"/>
      <c r="AV41" s="130"/>
      <c r="AW41" s="130"/>
      <c r="AX41" s="130"/>
      <c r="AY41" s="130"/>
      <c r="AZ41" s="130"/>
      <c r="BA41" s="130"/>
      <c r="BB41" s="130"/>
      <c r="BC41" s="130"/>
      <c r="BD41" s="130"/>
      <c r="BE41" s="130"/>
      <c r="BF41" s="130"/>
      <c r="BG41" s="130"/>
      <c r="BH41" s="130"/>
    </row>
    <row r="42" ht="29.3" customHeight="1" spans="1:60">
      <c r="A42" s="36"/>
      <c r="B42" s="61"/>
      <c r="C42" s="90"/>
      <c r="D42" s="91"/>
      <c r="E42" s="90"/>
      <c r="F42" s="91"/>
      <c r="G42" s="90"/>
      <c r="H42" s="91"/>
      <c r="I42" s="90"/>
      <c r="J42" s="91"/>
      <c r="K42" s="90"/>
      <c r="L42" s="91"/>
      <c r="M42" s="67" t="str">
        <f>IF(SUM(C42:L42)&gt;0,SUM(C42:L42),"")</f>
        <v/>
      </c>
      <c r="N42" s="122"/>
      <c r="O42" s="122"/>
      <c r="P42" s="32" t="str">
        <f>IF(M42&lt;&gt;"",IF(M42/22&gt;=2,3,0),"")</f>
        <v/>
      </c>
      <c r="Q42" s="128" t="str">
        <f>IF(OR(K29="非教学单位人员",K29="“双肩挑”人员",AND(M42&lt;&gt;"",P42&gt;0)),"满足","不满足")</f>
        <v>不满足</v>
      </c>
      <c r="R42" s="129"/>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row>
    <row r="43" ht="29.3" customHeight="1" spans="1:60">
      <c r="A43" s="36"/>
      <c r="B43" s="92" t="s">
        <v>58</v>
      </c>
      <c r="C43" s="78" t="s">
        <v>59</v>
      </c>
      <c r="D43" s="85"/>
      <c r="E43" s="78" t="s">
        <v>60</v>
      </c>
      <c r="F43" s="85"/>
      <c r="G43" s="78" t="s">
        <v>61</v>
      </c>
      <c r="H43" s="79"/>
      <c r="I43" s="85"/>
      <c r="J43" s="78" t="s">
        <v>62</v>
      </c>
      <c r="K43" s="85"/>
      <c r="L43" s="78" t="s">
        <v>63</v>
      </c>
      <c r="M43" s="85"/>
      <c r="N43" s="61" t="s">
        <v>38</v>
      </c>
      <c r="O43" s="61" t="s">
        <v>39</v>
      </c>
      <c r="P43" s="32" t="s">
        <v>64</v>
      </c>
      <c r="Q43" s="32" t="s">
        <v>65</v>
      </c>
      <c r="R43" s="127" t="s">
        <v>66</v>
      </c>
      <c r="S43" s="118" t="s">
        <v>67</v>
      </c>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row>
    <row r="44" ht="29.3" customHeight="1" spans="1:60">
      <c r="A44" s="36"/>
      <c r="B44" s="93"/>
      <c r="C44" s="90"/>
      <c r="D44" s="91"/>
      <c r="E44" s="90"/>
      <c r="F44" s="91"/>
      <c r="G44" s="90"/>
      <c r="H44" s="94"/>
      <c r="I44" s="91"/>
      <c r="J44" s="90"/>
      <c r="K44" s="91"/>
      <c r="L44" s="90"/>
      <c r="M44" s="91"/>
      <c r="N44" s="122"/>
      <c r="O44" s="122"/>
      <c r="P44" s="32">
        <f>IF(SUM(L44:M55)/3&gt;=60,3,0)</f>
        <v>0</v>
      </c>
      <c r="Q44" s="32">
        <f>IF(SUM(R44:S44)&gt;0,2,0)</f>
        <v>0</v>
      </c>
      <c r="R44" s="32">
        <f>COUNTIF(C44:D55,"国培项目")</f>
        <v>0</v>
      </c>
      <c r="S44" s="32">
        <f>COUNTIF(C44:D55,"境外线上线下培训")</f>
        <v>0</v>
      </c>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row>
    <row r="45" ht="29.3" customHeight="1" spans="1:60">
      <c r="A45" s="36"/>
      <c r="B45" s="93"/>
      <c r="C45" s="90"/>
      <c r="D45" s="91"/>
      <c r="E45" s="90"/>
      <c r="F45" s="91"/>
      <c r="G45" s="90"/>
      <c r="H45" s="94"/>
      <c r="I45" s="91"/>
      <c r="J45" s="90"/>
      <c r="K45" s="91"/>
      <c r="L45" s="90"/>
      <c r="M45" s="91"/>
      <c r="N45" s="122"/>
      <c r="O45" s="122"/>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row>
    <row r="46" ht="29.3" customHeight="1" spans="1:60">
      <c r="A46" s="36"/>
      <c r="B46" s="93"/>
      <c r="C46" s="90"/>
      <c r="D46" s="91"/>
      <c r="E46" s="90"/>
      <c r="F46" s="91"/>
      <c r="G46" s="90"/>
      <c r="H46" s="94"/>
      <c r="I46" s="91"/>
      <c r="J46" s="90"/>
      <c r="K46" s="91"/>
      <c r="L46" s="90"/>
      <c r="M46" s="91"/>
      <c r="N46" s="122"/>
      <c r="O46" s="122"/>
      <c r="AK46" s="130"/>
      <c r="AL46" s="130"/>
      <c r="AM46" s="130"/>
      <c r="AN46" s="130"/>
      <c r="AO46" s="130"/>
      <c r="AP46" s="130"/>
      <c r="AQ46" s="130"/>
      <c r="AR46" s="130"/>
      <c r="AS46" s="130"/>
      <c r="AT46" s="130"/>
      <c r="AU46" s="130"/>
      <c r="AV46" s="130"/>
      <c r="AW46" s="130"/>
      <c r="AX46" s="130"/>
      <c r="AY46" s="130"/>
      <c r="AZ46" s="130"/>
      <c r="BA46" s="130"/>
      <c r="BB46" s="130"/>
      <c r="BC46" s="130"/>
      <c r="BD46" s="130"/>
      <c r="BE46" s="130"/>
      <c r="BF46" s="130"/>
      <c r="BG46" s="130"/>
      <c r="BH46" s="130"/>
    </row>
    <row r="47" ht="29.3" customHeight="1" spans="1:60">
      <c r="A47" s="36"/>
      <c r="B47" s="93"/>
      <c r="C47" s="90"/>
      <c r="D47" s="91"/>
      <c r="E47" s="90"/>
      <c r="F47" s="91"/>
      <c r="G47" s="90"/>
      <c r="H47" s="94"/>
      <c r="I47" s="91"/>
      <c r="J47" s="90"/>
      <c r="K47" s="91"/>
      <c r="L47" s="90"/>
      <c r="M47" s="91"/>
      <c r="N47" s="122"/>
      <c r="O47" s="122"/>
      <c r="AK47" s="130"/>
      <c r="AL47" s="130"/>
      <c r="AM47" s="130"/>
      <c r="AN47" s="130"/>
      <c r="AO47" s="130"/>
      <c r="AP47" s="130"/>
      <c r="AQ47" s="130"/>
      <c r="AR47" s="130"/>
      <c r="AS47" s="130"/>
      <c r="AT47" s="130"/>
      <c r="AU47" s="130"/>
      <c r="AV47" s="130"/>
      <c r="AW47" s="130"/>
      <c r="AX47" s="130"/>
      <c r="AY47" s="130"/>
      <c r="AZ47" s="130"/>
      <c r="BA47" s="130"/>
      <c r="BB47" s="130"/>
      <c r="BC47" s="130"/>
      <c r="BD47" s="130"/>
      <c r="BE47" s="130"/>
      <c r="BF47" s="130"/>
      <c r="BG47" s="130"/>
      <c r="BH47" s="130"/>
    </row>
    <row r="48" ht="29.3" customHeight="1" spans="1:60">
      <c r="A48" s="36"/>
      <c r="B48" s="93"/>
      <c r="C48" s="90"/>
      <c r="D48" s="91"/>
      <c r="E48" s="90"/>
      <c r="F48" s="91"/>
      <c r="G48" s="90"/>
      <c r="H48" s="94"/>
      <c r="I48" s="91"/>
      <c r="J48" s="90"/>
      <c r="K48" s="91"/>
      <c r="L48" s="90"/>
      <c r="M48" s="91"/>
      <c r="N48" s="122"/>
      <c r="O48" s="122"/>
      <c r="AK48" s="130"/>
      <c r="AL48" s="130"/>
      <c r="AM48" s="130"/>
      <c r="AN48" s="130"/>
      <c r="AO48" s="130"/>
      <c r="AP48" s="130"/>
      <c r="AQ48" s="130"/>
      <c r="AR48" s="130"/>
      <c r="AS48" s="130"/>
      <c r="AT48" s="130"/>
      <c r="AU48" s="130"/>
      <c r="AV48" s="130"/>
      <c r="AW48" s="130"/>
      <c r="AX48" s="130"/>
      <c r="AY48" s="130"/>
      <c r="AZ48" s="130"/>
      <c r="BA48" s="130"/>
      <c r="BB48" s="130"/>
      <c r="BC48" s="130"/>
      <c r="BD48" s="130"/>
      <c r="BE48" s="130"/>
      <c r="BF48" s="130"/>
      <c r="BG48" s="130"/>
      <c r="BH48" s="130"/>
    </row>
    <row r="49" ht="29.3" customHeight="1" spans="1:60">
      <c r="A49" s="36"/>
      <c r="B49" s="93"/>
      <c r="C49" s="90"/>
      <c r="D49" s="91"/>
      <c r="E49" s="90"/>
      <c r="F49" s="91"/>
      <c r="G49" s="90"/>
      <c r="H49" s="94"/>
      <c r="I49" s="91"/>
      <c r="J49" s="90"/>
      <c r="K49" s="91"/>
      <c r="L49" s="90"/>
      <c r="M49" s="91"/>
      <c r="N49" s="122"/>
      <c r="O49" s="122"/>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row>
    <row r="50" ht="29.3" customHeight="1" spans="1:60">
      <c r="A50" s="36"/>
      <c r="B50" s="93"/>
      <c r="C50" s="90"/>
      <c r="D50" s="91"/>
      <c r="E50" s="90"/>
      <c r="F50" s="91"/>
      <c r="G50" s="90"/>
      <c r="H50" s="94"/>
      <c r="I50" s="91"/>
      <c r="J50" s="90"/>
      <c r="K50" s="91"/>
      <c r="L50" s="90"/>
      <c r="M50" s="91"/>
      <c r="N50" s="122"/>
      <c r="O50" s="122"/>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row>
    <row r="51" ht="29.3" customHeight="1" spans="1:60">
      <c r="A51" s="36"/>
      <c r="B51" s="93"/>
      <c r="C51" s="90"/>
      <c r="D51" s="91"/>
      <c r="E51" s="90"/>
      <c r="F51" s="91"/>
      <c r="G51" s="90"/>
      <c r="H51" s="94"/>
      <c r="I51" s="91"/>
      <c r="J51" s="90"/>
      <c r="K51" s="91"/>
      <c r="L51" s="90"/>
      <c r="M51" s="91"/>
      <c r="N51" s="122"/>
      <c r="O51" s="122"/>
      <c r="AK51" s="130"/>
      <c r="AL51" s="130"/>
      <c r="AM51" s="130"/>
      <c r="AN51" s="130"/>
      <c r="AO51" s="130"/>
      <c r="AP51" s="130"/>
      <c r="AQ51" s="130"/>
      <c r="AR51" s="130"/>
      <c r="AS51" s="130"/>
      <c r="AT51" s="130"/>
      <c r="AU51" s="130"/>
      <c r="AV51" s="130"/>
      <c r="AW51" s="130"/>
      <c r="AX51" s="130"/>
      <c r="AY51" s="130"/>
      <c r="AZ51" s="130"/>
      <c r="BA51" s="130"/>
      <c r="BB51" s="130"/>
      <c r="BC51" s="130"/>
      <c r="BD51" s="130"/>
      <c r="BE51" s="130"/>
      <c r="BF51" s="130"/>
      <c r="BG51" s="130"/>
      <c r="BH51" s="130"/>
    </row>
    <row r="52" ht="29.3" customHeight="1" spans="1:60">
      <c r="A52" s="36"/>
      <c r="B52" s="93"/>
      <c r="C52" s="90"/>
      <c r="D52" s="91"/>
      <c r="E52" s="90"/>
      <c r="F52" s="91"/>
      <c r="G52" s="90"/>
      <c r="H52" s="94"/>
      <c r="I52" s="91"/>
      <c r="J52" s="90"/>
      <c r="K52" s="91"/>
      <c r="L52" s="90"/>
      <c r="M52" s="91"/>
      <c r="N52" s="122"/>
      <c r="O52" s="122"/>
      <c r="AK52" s="130"/>
      <c r="AL52" s="130"/>
      <c r="AM52" s="130"/>
      <c r="AN52" s="130"/>
      <c r="AO52" s="130"/>
      <c r="AP52" s="130"/>
      <c r="AQ52" s="130"/>
      <c r="AR52" s="130"/>
      <c r="AS52" s="130"/>
      <c r="AT52" s="130"/>
      <c r="AU52" s="130"/>
      <c r="AV52" s="130"/>
      <c r="AW52" s="130"/>
      <c r="AX52" s="130"/>
      <c r="AY52" s="130"/>
      <c r="AZ52" s="130"/>
      <c r="BA52" s="130"/>
      <c r="BB52" s="130"/>
      <c r="BC52" s="130"/>
      <c r="BD52" s="130"/>
      <c r="BE52" s="130"/>
      <c r="BF52" s="130"/>
      <c r="BG52" s="130"/>
      <c r="BH52" s="130"/>
    </row>
    <row r="53" ht="29.3" customHeight="1" spans="1:60">
      <c r="A53" s="36"/>
      <c r="B53" s="93"/>
      <c r="C53" s="90"/>
      <c r="D53" s="91"/>
      <c r="E53" s="90"/>
      <c r="F53" s="91"/>
      <c r="G53" s="90"/>
      <c r="H53" s="94"/>
      <c r="I53" s="91"/>
      <c r="J53" s="90"/>
      <c r="K53" s="91"/>
      <c r="L53" s="90"/>
      <c r="M53" s="91"/>
      <c r="N53" s="122"/>
      <c r="O53" s="122"/>
      <c r="AK53" s="130"/>
      <c r="AL53" s="130"/>
      <c r="AM53" s="130"/>
      <c r="AN53" s="130"/>
      <c r="AO53" s="130"/>
      <c r="AP53" s="130"/>
      <c r="AQ53" s="130"/>
      <c r="AR53" s="130"/>
      <c r="AS53" s="130"/>
      <c r="AT53" s="130"/>
      <c r="AU53" s="130"/>
      <c r="AV53" s="130"/>
      <c r="AW53" s="130"/>
      <c r="AX53" s="130"/>
      <c r="AY53" s="130"/>
      <c r="AZ53" s="130"/>
      <c r="BA53" s="130"/>
      <c r="BB53" s="130"/>
      <c r="BC53" s="130"/>
      <c r="BD53" s="130"/>
      <c r="BE53" s="130"/>
      <c r="BF53" s="130"/>
      <c r="BG53" s="130"/>
      <c r="BH53" s="130"/>
    </row>
    <row r="54" ht="29.3" customHeight="1" spans="1:60">
      <c r="A54" s="36"/>
      <c r="B54" s="93"/>
      <c r="C54" s="90"/>
      <c r="D54" s="91"/>
      <c r="E54" s="90"/>
      <c r="F54" s="91"/>
      <c r="G54" s="90"/>
      <c r="H54" s="94"/>
      <c r="I54" s="91"/>
      <c r="J54" s="90"/>
      <c r="K54" s="91"/>
      <c r="L54" s="90"/>
      <c r="M54" s="91"/>
      <c r="N54" s="122"/>
      <c r="O54" s="122"/>
      <c r="AK54" s="130"/>
      <c r="AL54" s="130"/>
      <c r="AM54" s="130"/>
      <c r="AN54" s="130"/>
      <c r="AO54" s="130"/>
      <c r="AP54" s="130"/>
      <c r="AQ54" s="130"/>
      <c r="AR54" s="130"/>
      <c r="AS54" s="130"/>
      <c r="AT54" s="130"/>
      <c r="AU54" s="130"/>
      <c r="AV54" s="130"/>
      <c r="AW54" s="130"/>
      <c r="AX54" s="130"/>
      <c r="AY54" s="130"/>
      <c r="AZ54" s="130"/>
      <c r="BA54" s="130"/>
      <c r="BB54" s="130"/>
      <c r="BC54" s="130"/>
      <c r="BD54" s="130"/>
      <c r="BE54" s="130"/>
      <c r="BF54" s="130"/>
      <c r="BG54" s="130"/>
      <c r="BH54" s="130"/>
    </row>
    <row r="55" ht="29.3" customHeight="1" spans="1:60">
      <c r="A55" s="36"/>
      <c r="B55" s="95"/>
      <c r="C55" s="90"/>
      <c r="D55" s="91"/>
      <c r="E55" s="90"/>
      <c r="F55" s="91"/>
      <c r="G55" s="90"/>
      <c r="H55" s="94"/>
      <c r="I55" s="91"/>
      <c r="J55" s="90"/>
      <c r="K55" s="91"/>
      <c r="L55" s="90"/>
      <c r="M55" s="91"/>
      <c r="N55" s="122"/>
      <c r="O55" s="122"/>
      <c r="AK55" s="130"/>
      <c r="AL55" s="130"/>
      <c r="AM55" s="130"/>
      <c r="AN55" s="130"/>
      <c r="AO55" s="130"/>
      <c r="AP55" s="130"/>
      <c r="AQ55" s="130"/>
      <c r="AR55" s="130"/>
      <c r="AS55" s="130"/>
      <c r="AT55" s="130"/>
      <c r="AU55" s="130"/>
      <c r="AV55" s="130"/>
      <c r="AW55" s="130"/>
      <c r="AX55" s="130"/>
      <c r="AY55" s="130"/>
      <c r="AZ55" s="130"/>
      <c r="BA55" s="130"/>
      <c r="BB55" s="130"/>
      <c r="BC55" s="130"/>
      <c r="BD55" s="130"/>
      <c r="BE55" s="130"/>
      <c r="BF55" s="130"/>
      <c r="BG55" s="130"/>
      <c r="BH55" s="130"/>
    </row>
    <row r="56" ht="29.3" customHeight="1" spans="1:60">
      <c r="A56" s="36"/>
      <c r="B56" s="92" t="s">
        <v>68</v>
      </c>
      <c r="C56" s="78" t="s">
        <v>69</v>
      </c>
      <c r="D56" s="85"/>
      <c r="E56" s="96" t="s">
        <v>70</v>
      </c>
      <c r="F56" s="96"/>
      <c r="G56" s="96" t="s">
        <v>71</v>
      </c>
      <c r="H56" s="96"/>
      <c r="I56" s="96" t="s">
        <v>72</v>
      </c>
      <c r="J56" s="96"/>
      <c r="K56" s="125" t="s">
        <v>73</v>
      </c>
      <c r="L56" s="96" t="s">
        <v>63</v>
      </c>
      <c r="M56" s="96"/>
      <c r="N56" s="61" t="s">
        <v>38</v>
      </c>
      <c r="O56" s="61" t="s">
        <v>39</v>
      </c>
      <c r="P56" s="32" t="s">
        <v>74</v>
      </c>
      <c r="AK56" s="130"/>
      <c r="AL56" s="130"/>
      <c r="AM56" s="130"/>
      <c r="AN56" s="130"/>
      <c r="AO56" s="130"/>
      <c r="AP56" s="130"/>
      <c r="AQ56" s="130"/>
      <c r="AR56" s="130"/>
      <c r="AS56" s="130"/>
      <c r="AT56" s="130"/>
      <c r="AU56" s="130"/>
      <c r="AV56" s="130"/>
      <c r="AW56" s="130"/>
      <c r="AX56" s="130"/>
      <c r="AY56" s="130"/>
      <c r="AZ56" s="130"/>
      <c r="BA56" s="130"/>
      <c r="BB56" s="130"/>
      <c r="BC56" s="130"/>
      <c r="BD56" s="130"/>
      <c r="BE56" s="130"/>
      <c r="BF56" s="130"/>
      <c r="BG56" s="130"/>
      <c r="BH56" s="130"/>
    </row>
    <row r="57" ht="29.3" customHeight="1" spans="1:60">
      <c r="A57" s="36"/>
      <c r="B57" s="93"/>
      <c r="C57" s="97"/>
      <c r="D57" s="98"/>
      <c r="E57" s="90"/>
      <c r="F57" s="91"/>
      <c r="G57" s="90"/>
      <c r="H57" s="91"/>
      <c r="I57" s="90"/>
      <c r="J57" s="91"/>
      <c r="K57" s="126"/>
      <c r="L57" s="90"/>
      <c r="M57" s="91"/>
      <c r="N57" s="122"/>
      <c r="O57" s="122"/>
      <c r="P57" s="32">
        <f>IF(SUM(L57:M64)&gt;=30,3,0)</f>
        <v>0</v>
      </c>
      <c r="AK57" s="130"/>
      <c r="AL57" s="130"/>
      <c r="AM57" s="130"/>
      <c r="AN57" s="130"/>
      <c r="AO57" s="130"/>
      <c r="AP57" s="130"/>
      <c r="AQ57" s="130"/>
      <c r="AR57" s="130"/>
      <c r="AS57" s="130"/>
      <c r="AT57" s="130"/>
      <c r="AU57" s="130"/>
      <c r="AV57" s="130"/>
      <c r="AW57" s="130"/>
      <c r="AX57" s="130"/>
      <c r="AY57" s="130"/>
      <c r="AZ57" s="130"/>
      <c r="BA57" s="130"/>
      <c r="BB57" s="130"/>
      <c r="BC57" s="130"/>
      <c r="BD57" s="130"/>
      <c r="BE57" s="130"/>
      <c r="BF57" s="130"/>
      <c r="BG57" s="130"/>
      <c r="BH57" s="130"/>
    </row>
    <row r="58" ht="29.3" customHeight="1" spans="1:60">
      <c r="A58" s="36"/>
      <c r="B58" s="93"/>
      <c r="C58" s="97"/>
      <c r="D58" s="98"/>
      <c r="E58" s="90"/>
      <c r="F58" s="91"/>
      <c r="G58" s="90"/>
      <c r="H58" s="91"/>
      <c r="I58" s="90"/>
      <c r="J58" s="91"/>
      <c r="K58" s="126"/>
      <c r="L58" s="90"/>
      <c r="M58" s="91"/>
      <c r="N58" s="122"/>
      <c r="O58" s="122"/>
      <c r="AK58" s="130"/>
      <c r="AL58" s="130"/>
      <c r="AM58" s="130"/>
      <c r="AN58" s="130"/>
      <c r="AO58" s="130"/>
      <c r="AP58" s="130"/>
      <c r="AQ58" s="130"/>
      <c r="AR58" s="130"/>
      <c r="AS58" s="130"/>
      <c r="AT58" s="130"/>
      <c r="AU58" s="130"/>
      <c r="AV58" s="130"/>
      <c r="AW58" s="130"/>
      <c r="AX58" s="130"/>
      <c r="AY58" s="130"/>
      <c r="AZ58" s="130"/>
      <c r="BA58" s="130"/>
      <c r="BB58" s="130"/>
      <c r="BC58" s="130"/>
      <c r="BD58" s="130"/>
      <c r="BE58" s="130"/>
      <c r="BF58" s="130"/>
      <c r="BG58" s="130"/>
      <c r="BH58" s="130"/>
    </row>
    <row r="59" ht="29.3" customHeight="1" spans="1:60">
      <c r="A59" s="36"/>
      <c r="B59" s="93"/>
      <c r="C59" s="97"/>
      <c r="D59" s="98"/>
      <c r="E59" s="90"/>
      <c r="F59" s="91"/>
      <c r="G59" s="90"/>
      <c r="H59" s="91"/>
      <c r="I59" s="90"/>
      <c r="J59" s="91"/>
      <c r="K59" s="126"/>
      <c r="L59" s="90"/>
      <c r="M59" s="91"/>
      <c r="N59" s="122"/>
      <c r="O59" s="122"/>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row>
    <row r="60" ht="29.3" customHeight="1" spans="1:60">
      <c r="A60" s="36"/>
      <c r="B60" s="93"/>
      <c r="C60" s="97"/>
      <c r="D60" s="98"/>
      <c r="E60" s="90"/>
      <c r="F60" s="91"/>
      <c r="G60" s="90"/>
      <c r="H60" s="91"/>
      <c r="I60" s="90"/>
      <c r="J60" s="91"/>
      <c r="K60" s="126"/>
      <c r="L60" s="90"/>
      <c r="M60" s="91"/>
      <c r="N60" s="122"/>
      <c r="O60" s="122"/>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30"/>
      <c r="BG60" s="130"/>
      <c r="BH60" s="130"/>
    </row>
    <row r="61" ht="29.3" customHeight="1" spans="1:60">
      <c r="A61" s="36"/>
      <c r="B61" s="93"/>
      <c r="C61" s="97"/>
      <c r="D61" s="98"/>
      <c r="E61" s="90"/>
      <c r="F61" s="91"/>
      <c r="G61" s="90"/>
      <c r="H61" s="91"/>
      <c r="I61" s="90"/>
      <c r="J61" s="91"/>
      <c r="K61" s="126"/>
      <c r="L61" s="90"/>
      <c r="M61" s="91"/>
      <c r="N61" s="122"/>
      <c r="O61" s="122"/>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0"/>
      <c r="BH61" s="130"/>
    </row>
    <row r="62" ht="29.3" customHeight="1" spans="1:60">
      <c r="A62" s="36"/>
      <c r="B62" s="93"/>
      <c r="C62" s="97"/>
      <c r="D62" s="98"/>
      <c r="E62" s="90"/>
      <c r="F62" s="91"/>
      <c r="G62" s="90"/>
      <c r="H62" s="91"/>
      <c r="I62" s="90"/>
      <c r="J62" s="91"/>
      <c r="K62" s="126"/>
      <c r="L62" s="90"/>
      <c r="M62" s="91"/>
      <c r="N62" s="122"/>
      <c r="O62" s="122"/>
      <c r="AK62" s="130"/>
      <c r="AL62" s="130"/>
      <c r="AM62" s="130"/>
      <c r="AN62" s="130"/>
      <c r="AO62" s="130"/>
      <c r="AP62" s="130"/>
      <c r="AQ62" s="130"/>
      <c r="AR62" s="130"/>
      <c r="AS62" s="130"/>
      <c r="AT62" s="130"/>
      <c r="AU62" s="130"/>
      <c r="AV62" s="130"/>
      <c r="AW62" s="130"/>
      <c r="AX62" s="130"/>
      <c r="AY62" s="130"/>
      <c r="AZ62" s="130"/>
      <c r="BA62" s="130"/>
      <c r="BB62" s="130"/>
      <c r="BC62" s="130"/>
      <c r="BD62" s="130"/>
      <c r="BE62" s="130"/>
      <c r="BF62" s="130"/>
      <c r="BG62" s="130"/>
      <c r="BH62" s="130"/>
    </row>
    <row r="63" ht="29.3" customHeight="1" spans="1:60">
      <c r="A63" s="36"/>
      <c r="B63" s="93"/>
      <c r="C63" s="97"/>
      <c r="D63" s="98"/>
      <c r="E63" s="90"/>
      <c r="F63" s="91"/>
      <c r="G63" s="90"/>
      <c r="H63" s="91"/>
      <c r="I63" s="90"/>
      <c r="J63" s="91"/>
      <c r="K63" s="126"/>
      <c r="L63" s="90"/>
      <c r="M63" s="91"/>
      <c r="N63" s="122"/>
      <c r="O63" s="122"/>
      <c r="AK63" s="130"/>
      <c r="AL63" s="130"/>
      <c r="AM63" s="130"/>
      <c r="AN63" s="130"/>
      <c r="AO63" s="130"/>
      <c r="AP63" s="130"/>
      <c r="AQ63" s="130"/>
      <c r="AR63" s="130"/>
      <c r="AS63" s="130"/>
      <c r="AT63" s="130"/>
      <c r="AU63" s="130"/>
      <c r="AV63" s="130"/>
      <c r="AW63" s="130"/>
      <c r="AX63" s="130"/>
      <c r="AY63" s="130"/>
      <c r="AZ63" s="130"/>
      <c r="BA63" s="130"/>
      <c r="BB63" s="130"/>
      <c r="BC63" s="130"/>
      <c r="BD63" s="130"/>
      <c r="BE63" s="130"/>
      <c r="BF63" s="130"/>
      <c r="BG63" s="130"/>
      <c r="BH63" s="130"/>
    </row>
    <row r="64" ht="29.3" customHeight="1" spans="1:60">
      <c r="A64" s="36"/>
      <c r="B64" s="93"/>
      <c r="C64" s="97"/>
      <c r="D64" s="98"/>
      <c r="E64" s="90"/>
      <c r="F64" s="91"/>
      <c r="G64" s="90"/>
      <c r="H64" s="91"/>
      <c r="I64" s="90"/>
      <c r="J64" s="91"/>
      <c r="K64" s="126"/>
      <c r="L64" s="90"/>
      <c r="M64" s="91"/>
      <c r="N64" s="122"/>
      <c r="O64" s="122"/>
      <c r="AK64" s="130"/>
      <c r="AL64" s="130"/>
      <c r="AM64" s="130"/>
      <c r="AN64" s="130"/>
      <c r="AO64" s="130"/>
      <c r="AP64" s="130"/>
      <c r="AQ64" s="130"/>
      <c r="AR64" s="130"/>
      <c r="AS64" s="130"/>
      <c r="AT64" s="130"/>
      <c r="AU64" s="130"/>
      <c r="AV64" s="130"/>
      <c r="AW64" s="130"/>
      <c r="AX64" s="130"/>
      <c r="AY64" s="130"/>
      <c r="AZ64" s="130"/>
      <c r="BA64" s="130"/>
      <c r="BB64" s="130"/>
      <c r="BC64" s="130"/>
      <c r="BD64" s="130"/>
      <c r="BE64" s="130"/>
      <c r="BF64" s="130"/>
      <c r="BG64" s="130"/>
      <c r="BH64" s="130"/>
    </row>
    <row r="65" ht="29.3" customHeight="1" spans="1:60">
      <c r="A65" s="36"/>
      <c r="B65" s="61" t="s">
        <v>75</v>
      </c>
      <c r="C65" s="66" t="s">
        <v>76</v>
      </c>
      <c r="D65" s="112"/>
      <c r="E65" s="114" t="s">
        <v>77</v>
      </c>
      <c r="F65" s="112"/>
      <c r="G65" s="66" t="s">
        <v>78</v>
      </c>
      <c r="H65" s="112"/>
      <c r="I65" s="66" t="s">
        <v>79</v>
      </c>
      <c r="J65" s="112"/>
      <c r="K65" s="66" t="s">
        <v>80</v>
      </c>
      <c r="L65" s="156"/>
      <c r="M65" s="156"/>
      <c r="N65" s="61" t="s">
        <v>38</v>
      </c>
      <c r="O65" s="61" t="s">
        <v>39</v>
      </c>
      <c r="P65" s="32" t="s">
        <v>81</v>
      </c>
      <c r="Q65" s="32" t="s">
        <v>82</v>
      </c>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row>
    <row r="66" ht="29.3" customHeight="1" spans="1:60">
      <c r="A66" s="36"/>
      <c r="B66" s="61"/>
      <c r="C66" s="90"/>
      <c r="D66" s="91"/>
      <c r="E66" s="90"/>
      <c r="F66" s="91"/>
      <c r="G66" s="90"/>
      <c r="H66" s="91"/>
      <c r="I66" s="90"/>
      <c r="J66" s="91"/>
      <c r="K66" s="90"/>
      <c r="L66" s="94"/>
      <c r="M66" s="91"/>
      <c r="N66" s="122"/>
      <c r="O66" s="122"/>
      <c r="P66" s="32">
        <f>COUNTA(C66:D67)</f>
        <v>0</v>
      </c>
      <c r="Q66" s="32">
        <f>IF(P66&gt;0,3,0)</f>
        <v>0</v>
      </c>
      <c r="AK66" s="130"/>
      <c r="AL66" s="130"/>
      <c r="AM66" s="130"/>
      <c r="AN66" s="130"/>
      <c r="AO66" s="130"/>
      <c r="AP66" s="130"/>
      <c r="AQ66" s="130"/>
      <c r="AR66" s="130"/>
      <c r="AS66" s="130"/>
      <c r="AT66" s="130"/>
      <c r="AU66" s="130"/>
      <c r="AV66" s="130"/>
      <c r="AW66" s="130"/>
      <c r="AX66" s="130"/>
      <c r="AY66" s="130"/>
      <c r="AZ66" s="130"/>
      <c r="BA66" s="130"/>
      <c r="BB66" s="130"/>
      <c r="BC66" s="130"/>
      <c r="BD66" s="130"/>
      <c r="BE66" s="130"/>
      <c r="BF66" s="130"/>
      <c r="BG66" s="130"/>
      <c r="BH66" s="130"/>
    </row>
    <row r="67" ht="29.3" customHeight="1" spans="1:60">
      <c r="A67" s="36"/>
      <c r="B67" s="61"/>
      <c r="C67" s="90"/>
      <c r="D67" s="91"/>
      <c r="E67" s="90"/>
      <c r="F67" s="91"/>
      <c r="G67" s="90"/>
      <c r="H67" s="91"/>
      <c r="I67" s="90"/>
      <c r="J67" s="91"/>
      <c r="K67" s="90"/>
      <c r="L67" s="94"/>
      <c r="M67" s="91"/>
      <c r="N67" s="122"/>
      <c r="O67" s="122"/>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row>
    <row r="68" ht="31" customHeight="1" spans="1:60">
      <c r="A68" s="36"/>
      <c r="B68" s="131" t="s">
        <v>83</v>
      </c>
      <c r="C68" s="132"/>
      <c r="D68" s="132"/>
      <c r="E68" s="132"/>
      <c r="F68" s="132"/>
      <c r="G68" s="132"/>
      <c r="H68" s="132"/>
      <c r="I68" s="132"/>
      <c r="J68" s="132"/>
      <c r="K68" s="132"/>
      <c r="L68" s="132"/>
      <c r="M68" s="132"/>
      <c r="N68" s="132"/>
      <c r="O68" s="157"/>
      <c r="AK68" s="130"/>
      <c r="AL68" s="130"/>
      <c r="AM68" s="130"/>
      <c r="AN68" s="130"/>
      <c r="AO68" s="130"/>
      <c r="AP68" s="130"/>
      <c r="AQ68" s="130"/>
      <c r="AR68" s="130"/>
      <c r="AS68" s="130"/>
      <c r="AT68" s="130"/>
      <c r="AU68" s="130"/>
      <c r="AV68" s="130"/>
      <c r="AW68" s="130"/>
      <c r="AX68" s="130"/>
      <c r="AY68" s="130"/>
      <c r="AZ68" s="130"/>
      <c r="BA68" s="130"/>
      <c r="BB68" s="130"/>
      <c r="BC68" s="130"/>
      <c r="BD68" s="130"/>
      <c r="BE68" s="130"/>
      <c r="BF68" s="130"/>
      <c r="BG68" s="130"/>
      <c r="BH68" s="130"/>
    </row>
    <row r="69" ht="31" customHeight="1" spans="1:60">
      <c r="A69" s="36"/>
      <c r="B69" s="61" t="s">
        <v>59</v>
      </c>
      <c r="C69" s="61" t="s">
        <v>84</v>
      </c>
      <c r="D69" s="61"/>
      <c r="E69" s="61" t="s">
        <v>85</v>
      </c>
      <c r="F69" s="61" t="s">
        <v>86</v>
      </c>
      <c r="G69" s="61"/>
      <c r="H69" s="133" t="s">
        <v>87</v>
      </c>
      <c r="I69" s="133" t="s">
        <v>88</v>
      </c>
      <c r="J69" s="61" t="s">
        <v>89</v>
      </c>
      <c r="K69" s="61" t="s">
        <v>90</v>
      </c>
      <c r="L69" s="61" t="s">
        <v>91</v>
      </c>
      <c r="M69" s="61" t="s">
        <v>92</v>
      </c>
      <c r="N69" s="61" t="s">
        <v>38</v>
      </c>
      <c r="O69" s="61" t="s">
        <v>39</v>
      </c>
      <c r="P69" s="127" t="s">
        <v>93</v>
      </c>
      <c r="Q69" s="127" t="s">
        <v>94</v>
      </c>
      <c r="R69" s="175" t="s">
        <v>95</v>
      </c>
      <c r="S69" s="176"/>
      <c r="T69" s="177"/>
      <c r="U69" s="177"/>
      <c r="V69" s="177"/>
      <c r="W69" s="127"/>
      <c r="X69" s="127"/>
      <c r="Y69" s="127"/>
      <c r="Z69" s="127"/>
      <c r="AA69" s="127"/>
      <c r="AB69" s="127"/>
      <c r="AC69" s="127"/>
      <c r="AK69" s="130"/>
      <c r="AL69" s="130"/>
      <c r="AM69" s="130"/>
      <c r="AN69" s="130"/>
      <c r="AO69" s="130"/>
      <c r="AP69" s="130"/>
      <c r="AQ69" s="130"/>
      <c r="AR69" s="130"/>
      <c r="AS69" s="130"/>
      <c r="AT69" s="130"/>
      <c r="AU69" s="130"/>
      <c r="AV69" s="130"/>
      <c r="AW69" s="130"/>
      <c r="AX69" s="130"/>
      <c r="AY69" s="130"/>
      <c r="AZ69" s="130"/>
      <c r="BA69" s="130"/>
      <c r="BB69" s="130"/>
      <c r="BC69" s="130"/>
      <c r="BD69" s="130"/>
      <c r="BE69" s="130"/>
      <c r="BF69" s="130"/>
      <c r="BG69" s="130"/>
      <c r="BH69" s="130"/>
    </row>
    <row r="70" ht="31" customHeight="1" spans="1:60">
      <c r="A70" s="36"/>
      <c r="B70" s="134"/>
      <c r="C70" s="134"/>
      <c r="D70" s="134"/>
      <c r="E70" s="134"/>
      <c r="F70" s="135"/>
      <c r="G70" s="135"/>
      <c r="H70" s="135"/>
      <c r="I70" s="135"/>
      <c r="J70" s="158"/>
      <c r="K70" s="158"/>
      <c r="L70" s="159" t="str">
        <f>IF(B70&lt;&gt;0,1,"")</f>
        <v/>
      </c>
      <c r="M70" s="159" t="str">
        <f>IF(B70&lt;&gt;"",SUM(P70:Q70)*L70,"")</f>
        <v/>
      </c>
      <c r="N70" s="160"/>
      <c r="O70" s="160"/>
      <c r="P70" s="32">
        <f>IF(B70&lt;&gt;"",IF(OR(I70="独立完成",K70=1),IF(E70="国家级",10,IF(E70="省级",5,IF(E70="市级",3,IF(E70="校级",2)))),0),0)</f>
        <v>0</v>
      </c>
      <c r="Q70" s="32">
        <f>IF(AND(I70="合作完成",AND(K70&gt;1,K70&lt;4)),IF(E70="国家级",5,IF(E70="省级",3,IF(E70="市级",2,IF(E70="校级",1)))),0)</f>
        <v>0</v>
      </c>
      <c r="R70" s="128">
        <f>IF(OR(OR(I70="独立完成",K70=1),AND(NOT(E70="校级"),AND(K70&lt;&gt;"",K70&lt;4))),1,0)</f>
        <v>0</v>
      </c>
      <c r="S70" s="129"/>
      <c r="T70" s="177"/>
      <c r="U70" s="177"/>
      <c r="V70" s="177"/>
      <c r="W70" s="32"/>
      <c r="X70" s="166"/>
      <c r="Y70" s="166"/>
      <c r="Z70" s="166"/>
      <c r="AA70" s="160"/>
      <c r="AB70" s="160"/>
      <c r="AC70" s="160"/>
      <c r="AD70" s="160"/>
      <c r="AE70" s="160"/>
      <c r="AK70" s="130"/>
      <c r="AL70" s="130"/>
      <c r="AM70" s="130"/>
      <c r="AN70" s="130"/>
      <c r="AO70" s="130"/>
      <c r="AP70" s="130"/>
      <c r="AQ70" s="130"/>
      <c r="AR70" s="130"/>
      <c r="AS70" s="130"/>
      <c r="AT70" s="130"/>
      <c r="AU70" s="130"/>
      <c r="AV70" s="130"/>
      <c r="AW70" s="130"/>
      <c r="AX70" s="130"/>
      <c r="AY70" s="130"/>
      <c r="AZ70" s="130"/>
      <c r="BA70" s="130"/>
      <c r="BB70" s="130"/>
      <c r="BC70" s="130"/>
      <c r="BD70" s="130"/>
      <c r="BE70" s="130"/>
      <c r="BF70" s="130"/>
      <c r="BG70" s="130"/>
      <c r="BH70" s="130"/>
    </row>
    <row r="71" ht="31" customHeight="1" spans="1:60">
      <c r="A71" s="36"/>
      <c r="B71" s="136" t="s">
        <v>55</v>
      </c>
      <c r="C71" s="137"/>
      <c r="D71" s="137"/>
      <c r="E71" s="137"/>
      <c r="F71" s="137"/>
      <c r="G71" s="137"/>
      <c r="H71" s="137"/>
      <c r="I71" s="137"/>
      <c r="J71" s="137"/>
      <c r="K71" s="137"/>
      <c r="L71" s="161"/>
      <c r="M71" s="159">
        <f>IF(M70&lt;&gt;"",M70,0)</f>
        <v>0</v>
      </c>
      <c r="N71" s="162"/>
      <c r="O71" s="162"/>
      <c r="Q71" s="32"/>
      <c r="AB71" s="16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row>
    <row r="72" ht="15" customHeight="1" spans="1:60">
      <c r="A72" s="36"/>
      <c r="B72" s="57"/>
      <c r="C72" s="58"/>
      <c r="D72" s="58"/>
      <c r="E72" s="57"/>
      <c r="F72" s="59"/>
      <c r="G72" s="57"/>
      <c r="H72" s="60"/>
      <c r="I72" s="60"/>
      <c r="J72" s="109"/>
      <c r="K72" s="110"/>
      <c r="L72" s="110"/>
      <c r="M72" s="111"/>
      <c r="N72" s="111"/>
      <c r="O72" s="102"/>
      <c r="P72" s="99"/>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row>
    <row r="73" ht="31" customHeight="1" spans="1:60">
      <c r="A73" s="36"/>
      <c r="B73" s="77" t="s">
        <v>96</v>
      </c>
      <c r="C73" s="77"/>
      <c r="D73" s="77"/>
      <c r="E73" s="77"/>
      <c r="F73" s="77"/>
      <c r="G73" s="77"/>
      <c r="H73" s="77"/>
      <c r="I73" s="77"/>
      <c r="J73" s="77"/>
      <c r="K73" s="77"/>
      <c r="L73" s="77"/>
      <c r="M73" s="77"/>
      <c r="N73" s="77"/>
      <c r="O73" s="77"/>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row>
    <row r="74" ht="31" customHeight="1" spans="1:60">
      <c r="A74" s="36"/>
      <c r="B74" s="138" t="s">
        <v>97</v>
      </c>
      <c r="C74" s="138"/>
      <c r="D74" s="138"/>
      <c r="E74" s="138"/>
      <c r="F74" s="138"/>
      <c r="G74" s="138"/>
      <c r="H74" s="138"/>
      <c r="I74" s="138"/>
      <c r="J74" s="138"/>
      <c r="K74" s="138"/>
      <c r="L74" s="138"/>
      <c r="M74" s="138"/>
      <c r="N74" s="138"/>
      <c r="O74" s="138"/>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row>
    <row r="75" ht="31" customHeight="1" spans="1:60">
      <c r="A75" s="36"/>
      <c r="B75" s="87" t="s">
        <v>98</v>
      </c>
      <c r="C75" s="87" t="s">
        <v>86</v>
      </c>
      <c r="D75" s="87"/>
      <c r="E75" s="87"/>
      <c r="F75" s="87"/>
      <c r="G75" s="87" t="s">
        <v>99</v>
      </c>
      <c r="H75" s="61" t="s">
        <v>88</v>
      </c>
      <c r="I75" s="61" t="s">
        <v>89</v>
      </c>
      <c r="J75" s="61" t="s">
        <v>100</v>
      </c>
      <c r="K75" s="61" t="s">
        <v>101</v>
      </c>
      <c r="L75" s="61" t="s">
        <v>91</v>
      </c>
      <c r="M75" s="61" t="s">
        <v>92</v>
      </c>
      <c r="N75" s="61" t="s">
        <v>38</v>
      </c>
      <c r="O75" s="61" t="s">
        <v>39</v>
      </c>
      <c r="P75" s="163"/>
      <c r="Q75" s="32"/>
      <c r="R75" s="32" t="s">
        <v>102</v>
      </c>
      <c r="S75" s="127"/>
      <c r="T75" s="127" t="s">
        <v>103</v>
      </c>
      <c r="U75" s="127" t="s">
        <v>104</v>
      </c>
      <c r="V75" s="127" t="s">
        <v>105</v>
      </c>
      <c r="W75" s="127" t="s">
        <v>106</v>
      </c>
      <c r="X75" s="127"/>
      <c r="Y75" s="178" t="s">
        <v>107</v>
      </c>
      <c r="Z75" s="179"/>
      <c r="AA75" s="118"/>
      <c r="AB75" s="118"/>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row>
    <row r="76" ht="31" customHeight="1" spans="1:60">
      <c r="A76" s="36"/>
      <c r="B76" s="134"/>
      <c r="C76" s="135"/>
      <c r="D76" s="135"/>
      <c r="E76" s="135"/>
      <c r="F76" s="135"/>
      <c r="G76" s="139"/>
      <c r="H76" s="139"/>
      <c r="I76" s="139"/>
      <c r="J76" s="139"/>
      <c r="K76" s="164"/>
      <c r="L76" s="165" t="str">
        <f>IF(B76&lt;&gt;"",R76,"")</f>
        <v/>
      </c>
      <c r="M76" s="165" t="str">
        <f>IF(B76&lt;&gt;"",SUM(S76:X76)*L76,"")</f>
        <v/>
      </c>
      <c r="N76" s="160"/>
      <c r="O76" s="166"/>
      <c r="P76" s="167"/>
      <c r="Q76" s="166"/>
      <c r="R76" s="32">
        <f>IF(H76="独立完成",1,IF(J76=1,0.8,IF(J76=2,0.2,IF(J76=3,0.1,IF(J76&gt;3,0.05,0)))))</f>
        <v>0</v>
      </c>
      <c r="S76" s="166"/>
      <c r="T76" s="32">
        <f>IF(B76="国家级项目",40,0)</f>
        <v>0</v>
      </c>
      <c r="U76" s="32">
        <f>IF(B76="省级项目",20,0)</f>
        <v>0</v>
      </c>
      <c r="V76" s="32">
        <f>IF(B76="市级项目",10,0)</f>
        <v>0</v>
      </c>
      <c r="W76" s="32">
        <f>IF(B76="校级项目",5,0)</f>
        <v>0</v>
      </c>
      <c r="X76" s="32"/>
      <c r="Y76" s="180">
        <f>IF(OR(H76="独立完成",J76=1),1,0)</f>
        <v>0</v>
      </c>
      <c r="Z76" s="181"/>
      <c r="AK76" s="130"/>
      <c r="AL76" s="130"/>
      <c r="AM76" s="130"/>
      <c r="AN76" s="130"/>
      <c r="AO76" s="130"/>
      <c r="AP76" s="130"/>
      <c r="AQ76" s="130"/>
      <c r="AR76" s="130"/>
      <c r="AS76" s="130"/>
      <c r="AT76" s="130"/>
      <c r="AU76" s="130"/>
      <c r="AV76" s="130"/>
      <c r="AW76" s="130"/>
      <c r="AX76" s="130"/>
      <c r="AY76" s="130"/>
      <c r="AZ76" s="130"/>
      <c r="BA76" s="130"/>
      <c r="BB76" s="130"/>
      <c r="BC76" s="130"/>
      <c r="BD76" s="130"/>
      <c r="BE76" s="130"/>
      <c r="BF76" s="130"/>
      <c r="BG76" s="130"/>
      <c r="BH76" s="130"/>
    </row>
    <row r="77" ht="31" customHeight="1" spans="1:60">
      <c r="A77" s="36"/>
      <c r="B77" s="134"/>
      <c r="C77" s="135"/>
      <c r="D77" s="135"/>
      <c r="E77" s="135"/>
      <c r="F77" s="135"/>
      <c r="G77" s="139"/>
      <c r="H77" s="139"/>
      <c r="I77" s="139"/>
      <c r="J77" s="139"/>
      <c r="K77" s="164"/>
      <c r="L77" s="165" t="str">
        <f>IF(B77&lt;&gt;"",R77,"")</f>
        <v/>
      </c>
      <c r="M77" s="165" t="str">
        <f>IF(B77&lt;&gt;"",SUM(S77:X77)*L77,"")</f>
        <v/>
      </c>
      <c r="N77" s="160"/>
      <c r="O77" s="166"/>
      <c r="P77" s="167"/>
      <c r="Q77" s="166"/>
      <c r="R77" s="32">
        <f>IF(H77="独立完成",1,IF(J77=1,0.8,IF(J77=2,0.2,IF(J77=3,0.1,IF(J77&gt;3,0.05,0)))))</f>
        <v>0</v>
      </c>
      <c r="S77" s="166"/>
      <c r="T77" s="32">
        <f>IF(B77="国家级项目",40,0)</f>
        <v>0</v>
      </c>
      <c r="U77" s="32">
        <f>IF(B77="省级项目",20,0)</f>
        <v>0</v>
      </c>
      <c r="V77" s="32">
        <f>IF(B77="市级项目",10,0)</f>
        <v>0</v>
      </c>
      <c r="W77" s="32">
        <f>IF(B77="校级项目",5,0)</f>
        <v>0</v>
      </c>
      <c r="X77" s="32"/>
      <c r="Y77" s="180">
        <f>IF(OR(H77="独立完成",J77=1),1,0)</f>
        <v>0</v>
      </c>
      <c r="Z77" s="181"/>
      <c r="AK77" s="130"/>
      <c r="AL77" s="130"/>
      <c r="AM77" s="130"/>
      <c r="AN77" s="130"/>
      <c r="AO77" s="130"/>
      <c r="AP77" s="130"/>
      <c r="AQ77" s="130"/>
      <c r="AR77" s="130"/>
      <c r="AS77" s="130"/>
      <c r="AT77" s="130"/>
      <c r="AU77" s="130"/>
      <c r="AV77" s="130"/>
      <c r="AW77" s="130"/>
      <c r="AX77" s="130"/>
      <c r="AY77" s="130"/>
      <c r="AZ77" s="130"/>
      <c r="BA77" s="130"/>
      <c r="BB77" s="130"/>
      <c r="BC77" s="130"/>
      <c r="BD77" s="130"/>
      <c r="BE77" s="130"/>
      <c r="BF77" s="130"/>
      <c r="BG77" s="130"/>
      <c r="BH77" s="130"/>
    </row>
    <row r="78" ht="31" customHeight="1" spans="1:60">
      <c r="A78" s="36"/>
      <c r="B78" s="134"/>
      <c r="C78" s="135"/>
      <c r="D78" s="135"/>
      <c r="E78" s="135"/>
      <c r="F78" s="135"/>
      <c r="G78" s="134"/>
      <c r="H78" s="134"/>
      <c r="I78" s="139"/>
      <c r="J78" s="168"/>
      <c r="K78" s="164"/>
      <c r="L78" s="165" t="str">
        <f>IF(B78&lt;&gt;"",R78,"")</f>
        <v/>
      </c>
      <c r="M78" s="165" t="str">
        <f>IF(B78&lt;&gt;"",SUM(S78:X78)*L78,"")</f>
        <v/>
      </c>
      <c r="N78" s="160"/>
      <c r="O78" s="166"/>
      <c r="P78" s="167"/>
      <c r="Q78" s="166"/>
      <c r="R78" s="32">
        <f>IF(H78="独立完成",1,IF(J78=1,0.8,IF(J78=2,0.2,IF(J78=3,0.1,IF(J78&gt;3,0.05,0)))))</f>
        <v>0</v>
      </c>
      <c r="S78" s="166"/>
      <c r="T78" s="32">
        <f>IF(B78="国家级项目",40,0)</f>
        <v>0</v>
      </c>
      <c r="U78" s="32">
        <f>IF(B78="省级项目",20,0)</f>
        <v>0</v>
      </c>
      <c r="V78" s="32">
        <f>IF(B78="市级项目",10,0)</f>
        <v>0</v>
      </c>
      <c r="W78" s="32">
        <f>IF(B78="校级项目",5,0)</f>
        <v>0</v>
      </c>
      <c r="X78" s="32"/>
      <c r="Y78" s="180">
        <f>IF(OR(H78="独立完成",J78=1),1,0)</f>
        <v>0</v>
      </c>
      <c r="Z78" s="181"/>
      <c r="AK78" s="130"/>
      <c r="AL78" s="130"/>
      <c r="AM78" s="130"/>
      <c r="AN78" s="130"/>
      <c r="AO78" s="130"/>
      <c r="AP78" s="130"/>
      <c r="AQ78" s="130"/>
      <c r="AR78" s="130"/>
      <c r="AS78" s="130"/>
      <c r="AT78" s="130"/>
      <c r="AU78" s="130"/>
      <c r="AV78" s="130"/>
      <c r="AW78" s="130"/>
      <c r="AX78" s="130"/>
      <c r="AY78" s="130"/>
      <c r="AZ78" s="130"/>
      <c r="BA78" s="130"/>
      <c r="BB78" s="130"/>
      <c r="BC78" s="130"/>
      <c r="BD78" s="130"/>
      <c r="BE78" s="130"/>
      <c r="BF78" s="130"/>
      <c r="BG78" s="130"/>
      <c r="BH78" s="130"/>
    </row>
    <row r="79" ht="31" customHeight="1" spans="1:60">
      <c r="A79" s="36"/>
      <c r="B79" s="136" t="s">
        <v>55</v>
      </c>
      <c r="C79" s="137"/>
      <c r="D79" s="137"/>
      <c r="E79" s="137"/>
      <c r="F79" s="137"/>
      <c r="G79" s="137"/>
      <c r="H79" s="137"/>
      <c r="I79" s="137"/>
      <c r="J79" s="137"/>
      <c r="K79" s="137"/>
      <c r="L79" s="161"/>
      <c r="M79" s="165">
        <f>IF(M76&lt;&gt;"",SUM(M76:M78),0)</f>
        <v>0</v>
      </c>
      <c r="N79" s="169"/>
      <c r="O79" s="169"/>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row>
    <row r="80" ht="31" customHeight="1" spans="1:60">
      <c r="A80" s="36"/>
      <c r="B80" s="138" t="s">
        <v>108</v>
      </c>
      <c r="C80" s="138"/>
      <c r="D80" s="138"/>
      <c r="E80" s="138"/>
      <c r="F80" s="138"/>
      <c r="G80" s="138"/>
      <c r="H80" s="138"/>
      <c r="I80" s="138"/>
      <c r="J80" s="138"/>
      <c r="K80" s="138"/>
      <c r="L80" s="138"/>
      <c r="M80" s="138"/>
      <c r="N80" s="138"/>
      <c r="O80" s="138"/>
      <c r="AK80" s="130"/>
      <c r="AL80" s="130"/>
      <c r="AM80" s="130"/>
      <c r="AN80" s="130"/>
      <c r="AO80" s="130"/>
      <c r="AP80" s="130"/>
      <c r="AQ80" s="130"/>
      <c r="AR80" s="130"/>
      <c r="AS80" s="130"/>
      <c r="AT80" s="130"/>
      <c r="AU80" s="130"/>
      <c r="AV80" s="130"/>
      <c r="AW80" s="130"/>
      <c r="AX80" s="130"/>
      <c r="AY80" s="130"/>
      <c r="AZ80" s="130"/>
      <c r="BA80" s="130"/>
      <c r="BB80" s="130"/>
      <c r="BC80" s="130"/>
      <c r="BD80" s="130"/>
      <c r="BE80" s="130"/>
      <c r="BF80" s="130"/>
      <c r="BG80" s="130"/>
      <c r="BH80" s="130"/>
    </row>
    <row r="81" ht="31" customHeight="1" spans="1:60">
      <c r="A81" s="36"/>
      <c r="B81" s="61" t="s">
        <v>109</v>
      </c>
      <c r="C81" s="61" t="s">
        <v>110</v>
      </c>
      <c r="D81" s="61" t="s">
        <v>86</v>
      </c>
      <c r="E81" s="61"/>
      <c r="F81" s="61"/>
      <c r="G81" s="61" t="s">
        <v>111</v>
      </c>
      <c r="H81" s="61"/>
      <c r="I81" s="61" t="s">
        <v>88</v>
      </c>
      <c r="J81" s="61" t="s">
        <v>89</v>
      </c>
      <c r="K81" s="61" t="s">
        <v>100</v>
      </c>
      <c r="L81" s="169" t="s">
        <v>91</v>
      </c>
      <c r="M81" s="61" t="s">
        <v>92</v>
      </c>
      <c r="N81" s="61" t="s">
        <v>38</v>
      </c>
      <c r="O81" s="61" t="s">
        <v>39</v>
      </c>
      <c r="P81" s="127" t="s">
        <v>102</v>
      </c>
      <c r="Q81" s="127" t="s">
        <v>112</v>
      </c>
      <c r="R81" s="127" t="s">
        <v>113</v>
      </c>
      <c r="S81" s="127" t="s">
        <v>114</v>
      </c>
      <c r="T81" s="127" t="s">
        <v>115</v>
      </c>
      <c r="U81" s="127" t="s">
        <v>116</v>
      </c>
      <c r="V81" s="178" t="s">
        <v>117</v>
      </c>
      <c r="W81" s="179"/>
      <c r="X81" s="175" t="s">
        <v>118</v>
      </c>
      <c r="Y81" s="176"/>
      <c r="AK81" s="130"/>
      <c r="AL81" s="130"/>
      <c r="AM81" s="130"/>
      <c r="AN81" s="130"/>
      <c r="AO81" s="130"/>
      <c r="AP81" s="130"/>
      <c r="AQ81" s="130"/>
      <c r="AR81" s="130"/>
      <c r="AS81" s="130"/>
      <c r="AT81" s="130"/>
      <c r="AU81" s="130"/>
      <c r="AV81" s="130"/>
      <c r="AW81" s="130"/>
      <c r="AX81" s="130"/>
      <c r="AY81" s="130"/>
      <c r="AZ81" s="130"/>
      <c r="BA81" s="130"/>
      <c r="BB81" s="130"/>
      <c r="BC81" s="130"/>
      <c r="BD81" s="130"/>
      <c r="BE81" s="130"/>
      <c r="BF81" s="130"/>
      <c r="BG81" s="130"/>
      <c r="BH81" s="130"/>
    </row>
    <row r="82" ht="31" customHeight="1" spans="1:60">
      <c r="A82" s="36"/>
      <c r="B82" s="134"/>
      <c r="C82" s="134"/>
      <c r="D82" s="135"/>
      <c r="E82" s="135"/>
      <c r="F82" s="135"/>
      <c r="G82" s="134"/>
      <c r="H82" s="134"/>
      <c r="I82" s="135"/>
      <c r="J82" s="170"/>
      <c r="K82" s="158"/>
      <c r="L82" s="165" t="str">
        <f>IF(B82&lt;&gt;"",P82,"")</f>
        <v/>
      </c>
      <c r="M82" s="165" t="str">
        <f t="shared" ref="M82:M84" si="0">IF(B82&lt;&gt;"",SUM(Q82:U82)*L82,"")</f>
        <v/>
      </c>
      <c r="N82" s="32"/>
      <c r="O82" s="32"/>
      <c r="P82" s="32">
        <f>IF(I82="独立完成",1,IF(K82=1,0.6,IF(K82=2,0.4,IF(K82=3,0.2,IF(K82=4,0.1,IF(K82&gt;4,0.05,0))))))</f>
        <v>0</v>
      </c>
      <c r="Q82" s="32">
        <f>IF(AND(OR(B82="市级成果奖",B82="市级教学奖"),C82="一等奖"),12,IF(AND(OR(B82="市级成果奖",B82="市级教学奖"),C82="二等奖"),10,IF(AND(OR(B82="市级成果奖",B82="市级教学奖"),OR(C82="三等奖",C82="无等级")),8,0)))</f>
        <v>0</v>
      </c>
      <c r="R82" s="32">
        <f>IF(AND(OR(B82="校级成果奖",B82="校级教学奖"),C82="一等奖"),6,IF(AND(OR(B82="校级成果奖",B82="校级教学奖"),C82="二等奖"),4,IF(AND(OR(B82="校级成果奖",B82="校级教学奖"),OR(C82="三等奖",C82="无等级")),2,0)))</f>
        <v>0</v>
      </c>
      <c r="S82" s="32">
        <f>IF(AND(OR(B82="国家级成果奖",B82="国家级教学奖"),C82="一等奖"),100,IF(AND(OR(B82="国家级成果奖",B82="国家级教学奖"),C82="二等奖"),80,IF(AND(OR(B82="国家级成果奖",B82="国家级教学奖"),OR(C82="三等奖",C82="无等级")),60,0)))</f>
        <v>0</v>
      </c>
      <c r="T82" s="32">
        <f>IF(AND(OR(B82="国家开放大学成果奖",B82="国家开放大学教学奖"),C82="一等奖"),30,IF(AND(OR(B82="国家开放大学成果奖",B82="国家开放大学教学奖"),C82="二等奖"),24,IF(AND(OR(B82="国家开放大学成果奖",B82="国家开放大学教学奖"),OR(C82="三等奖",C82="无等级")),18,0)))</f>
        <v>0</v>
      </c>
      <c r="U82" s="32">
        <f>IF(AND(OR(B82="省级成果奖",B82="省级教学奖"),C82="一等奖"),30,IF(AND(OR(B82="省级成果奖",B82="省级教学奖"),C82="二等奖"),24,IF(AND(OR(B82="省级成果奖",B82="省级教学奖"),OR(C82="三等奖",C82="无等级")),18,0)))</f>
        <v>0</v>
      </c>
      <c r="V82" s="180">
        <f>IF(AND(OR(B82="省级成果奖",B82="国家级成果奖",B82="国家开放大学成果奖",B82="省级教学奖",B82="国家级教学奖",B82="国家开放大学教学奖"),OR(C82="一等奖",C82="二等奖",C82="三等奖",C82="无等级"),OR(I82="独立完成",K82=1)),1,0)</f>
        <v>0</v>
      </c>
      <c r="W82" s="181"/>
      <c r="X82" s="128">
        <f>IF(AND(OR(B82="省级成果奖",B82="国家级成果奖",B82="国家开放大学成果奖",B82="省级教学奖",B82="国家级教学奖",B82="国家开放大学教学奖"),AND(K82&lt;&gt;"",K82&lt;&gt;1,K82&lt;4)),1,0)</f>
        <v>0</v>
      </c>
      <c r="Y82" s="129"/>
      <c r="AK82" s="130"/>
      <c r="AL82" s="130"/>
      <c r="AM82" s="130"/>
      <c r="AN82" s="130"/>
      <c r="AO82" s="130"/>
      <c r="AP82" s="130"/>
      <c r="AQ82" s="130"/>
      <c r="AR82" s="130"/>
      <c r="AS82" s="130"/>
      <c r="AT82" s="130"/>
      <c r="AU82" s="130"/>
      <c r="AV82" s="130"/>
      <c r="AW82" s="130"/>
      <c r="AX82" s="130"/>
      <c r="AY82" s="130"/>
      <c r="AZ82" s="130"/>
      <c r="BA82" s="130"/>
      <c r="BB82" s="130"/>
      <c r="BC82" s="130"/>
      <c r="BD82" s="130"/>
      <c r="BE82" s="130"/>
      <c r="BF82" s="130"/>
      <c r="BG82" s="130"/>
      <c r="BH82" s="130"/>
    </row>
    <row r="83" ht="31" customHeight="1" spans="1:60">
      <c r="A83" s="36"/>
      <c r="B83" s="134"/>
      <c r="C83" s="134"/>
      <c r="D83" s="135"/>
      <c r="E83" s="135"/>
      <c r="F83" s="135"/>
      <c r="G83" s="134"/>
      <c r="H83" s="140"/>
      <c r="I83" s="135"/>
      <c r="J83" s="170"/>
      <c r="K83" s="158"/>
      <c r="L83" s="165" t="str">
        <f>IF(B83&lt;&gt;"",P83,"")</f>
        <v/>
      </c>
      <c r="M83" s="165" t="str">
        <f t="shared" si="0"/>
        <v/>
      </c>
      <c r="N83" s="32"/>
      <c r="O83" s="32"/>
      <c r="P83" s="32">
        <f>IF(I83="独立完成",1,IF(K83=1,0.6,IF(K83=2,0.4,IF(K83=3,0.2,IF(K83=4,0.1,IF(K83&gt;4,0.05,0))))))</f>
        <v>0</v>
      </c>
      <c r="Q83" s="32">
        <f>IF(AND(OR(B83="市级成果奖",B83="市级教学奖"),C83="一等奖"),12,IF(AND(OR(B83="市级成果奖",B83="市级教学奖"),C83="二等奖"),10,IF(AND(OR(B83="市级成果奖",B83="市级教学奖"),OR(C83="三等奖",C83="无等级")),8,0)))</f>
        <v>0</v>
      </c>
      <c r="R83" s="32">
        <f>IF(AND(OR(B83="校级成果奖",B83="校级教学奖"),C83="一等奖"),6,IF(AND(OR(B83="校级成果奖",B83="校级教学奖"),C83="二等奖"),4,IF(AND(OR(B83="校级成果奖",B83="校级教学奖"),OR(C83="三等奖",C83="无等级")),2,0)))</f>
        <v>0</v>
      </c>
      <c r="S83" s="32">
        <f>IF(AND(OR(B83="国家级成果奖",B83="国家级教学奖"),C83="一等奖"),100,IF(AND(OR(B83="国家级成果奖",B83="国家级教学奖"),C83="二等奖"),80,IF(AND(OR(B83="国家级成果奖",B83="国家级教学奖"),OR(C83="三等奖",C83="无等级")),60,0)))</f>
        <v>0</v>
      </c>
      <c r="T83" s="32">
        <f>IF(AND(OR(B83="国家开放大学成果奖",B83="国家开放大学教学奖"),C83="一等奖"),30,IF(AND(OR(B83="国家开放大学成果奖",B83="国家开放大学教学奖"),C83="二等奖"),24,IF(AND(OR(B83="国家开放大学成果奖",B83="国家开放大学教学奖"),OR(C83="三等奖",C83="无等级")),18,0)))</f>
        <v>0</v>
      </c>
      <c r="U83" s="32">
        <f>IF(AND(OR(B83="省级成果奖",B83="省级教学奖"),C83="一等奖"),30,IF(AND(OR(B83="省级成果奖",B83="省级教学奖"),C83="二等奖"),24,IF(AND(OR(B83="省级成果奖",B83="省级教学奖"),OR(C83="三等奖",C83="无等级")),18,0)))</f>
        <v>0</v>
      </c>
      <c r="V83" s="180">
        <f>IF(AND(OR(B83="省级成果奖",B83="国家级成果奖",B83="国家开放大学成果奖",B83="省级教学奖",B83="国家级教学奖",B83="国家开放大学教学奖"),OR(C83="一等奖",C83="二等奖",C83="三等奖",C83="无等级"),OR(I83="独立完成",K83=1)),1,0)</f>
        <v>0</v>
      </c>
      <c r="W83" s="181"/>
      <c r="X83" s="128">
        <f>IF(AND(OR(B83="省级成果奖",B83="国家级成果奖",B83="国家开放大学成果奖",B83="省级教学奖",B83="国家级教学奖",B83="国家开放大学教学奖"),AND(K83&lt;&gt;"",K83&lt;&gt;1,K83&lt;4)),1,0)</f>
        <v>0</v>
      </c>
      <c r="Y83" s="129"/>
      <c r="AK83" s="130"/>
      <c r="AL83" s="130"/>
      <c r="AM83" s="130"/>
      <c r="AN83" s="130"/>
      <c r="AO83" s="130"/>
      <c r="AP83" s="130"/>
      <c r="AQ83" s="130"/>
      <c r="AR83" s="130"/>
      <c r="AS83" s="130"/>
      <c r="AT83" s="130"/>
      <c r="AU83" s="130"/>
      <c r="AV83" s="130"/>
      <c r="AW83" s="130"/>
      <c r="AX83" s="130"/>
      <c r="AY83" s="130"/>
      <c r="AZ83" s="130"/>
      <c r="BA83" s="130"/>
      <c r="BB83" s="130"/>
      <c r="BC83" s="130"/>
      <c r="BD83" s="130"/>
      <c r="BE83" s="130"/>
      <c r="BF83" s="130"/>
      <c r="BG83" s="130"/>
      <c r="BH83" s="130"/>
    </row>
    <row r="84" ht="31" customHeight="1" spans="1:60">
      <c r="A84" s="36"/>
      <c r="B84" s="136" t="s">
        <v>55</v>
      </c>
      <c r="C84" s="137"/>
      <c r="D84" s="137"/>
      <c r="E84" s="137"/>
      <c r="F84" s="137"/>
      <c r="G84" s="137"/>
      <c r="H84" s="137"/>
      <c r="I84" s="137"/>
      <c r="J84" s="137"/>
      <c r="K84" s="137"/>
      <c r="L84" s="161"/>
      <c r="M84" s="165">
        <f>IF(M82&lt;&gt;"",SUM(M82:M83),0)</f>
        <v>0</v>
      </c>
      <c r="N84" s="169"/>
      <c r="O84" s="169"/>
      <c r="AK84" s="130"/>
      <c r="AL84" s="130"/>
      <c r="AM84" s="130"/>
      <c r="AN84" s="130"/>
      <c r="AO84" s="130"/>
      <c r="AP84" s="130"/>
      <c r="AQ84" s="130"/>
      <c r="AR84" s="130"/>
      <c r="AS84" s="130"/>
      <c r="AT84" s="130"/>
      <c r="AU84" s="130"/>
      <c r="AV84" s="130"/>
      <c r="AW84" s="130"/>
      <c r="AX84" s="130"/>
      <c r="AY84" s="130"/>
      <c r="AZ84" s="130"/>
      <c r="BA84" s="130"/>
      <c r="BB84" s="130"/>
      <c r="BC84" s="130"/>
      <c r="BD84" s="130"/>
      <c r="BE84" s="130"/>
      <c r="BF84" s="130"/>
      <c r="BG84" s="130"/>
      <c r="BH84" s="130"/>
    </row>
    <row r="85" ht="31" customHeight="1" spans="1:60">
      <c r="A85" s="36"/>
      <c r="B85" s="138" t="s">
        <v>119</v>
      </c>
      <c r="C85" s="138"/>
      <c r="D85" s="138"/>
      <c r="E85" s="138"/>
      <c r="F85" s="138"/>
      <c r="G85" s="138"/>
      <c r="H85" s="138"/>
      <c r="I85" s="138"/>
      <c r="J85" s="138"/>
      <c r="K85" s="138"/>
      <c r="L85" s="138"/>
      <c r="M85" s="138"/>
      <c r="N85" s="138"/>
      <c r="O85" s="138"/>
      <c r="AK85" s="130"/>
      <c r="AL85" s="130"/>
      <c r="AM85" s="130"/>
      <c r="AN85" s="130"/>
      <c r="AO85" s="130"/>
      <c r="AP85" s="130"/>
      <c r="AQ85" s="130"/>
      <c r="AR85" s="130"/>
      <c r="AS85" s="130"/>
      <c r="AT85" s="130"/>
      <c r="AU85" s="130"/>
      <c r="AV85" s="130"/>
      <c r="AW85" s="130"/>
      <c r="AX85" s="130"/>
      <c r="AY85" s="130"/>
      <c r="AZ85" s="130"/>
      <c r="BA85" s="130"/>
      <c r="BB85" s="130"/>
      <c r="BC85" s="130"/>
      <c r="BD85" s="130"/>
      <c r="BE85" s="130"/>
      <c r="BF85" s="130"/>
      <c r="BG85" s="130"/>
      <c r="BH85" s="130"/>
    </row>
    <row r="86" ht="31" customHeight="1" spans="1:60">
      <c r="A86" s="36"/>
      <c r="B86" s="141" t="s">
        <v>110</v>
      </c>
      <c r="C86" s="142" t="s">
        <v>120</v>
      </c>
      <c r="D86" s="141" t="s">
        <v>86</v>
      </c>
      <c r="E86" s="141"/>
      <c r="F86" s="141"/>
      <c r="G86" s="61" t="s">
        <v>87</v>
      </c>
      <c r="H86" s="61"/>
      <c r="I86" s="61" t="s">
        <v>121</v>
      </c>
      <c r="J86" s="141" t="s">
        <v>88</v>
      </c>
      <c r="K86" s="141" t="s">
        <v>89</v>
      </c>
      <c r="L86" s="169" t="s">
        <v>91</v>
      </c>
      <c r="M86" s="141" t="s">
        <v>92</v>
      </c>
      <c r="N86" s="61" t="s">
        <v>38</v>
      </c>
      <c r="O86" s="61" t="s">
        <v>39</v>
      </c>
      <c r="P86" s="127" t="s">
        <v>114</v>
      </c>
      <c r="Q86" s="127" t="s">
        <v>112</v>
      </c>
      <c r="R86" s="127" t="s">
        <v>113</v>
      </c>
      <c r="S86" s="127" t="s">
        <v>115</v>
      </c>
      <c r="T86" s="127" t="s">
        <v>116</v>
      </c>
      <c r="U86" s="32" t="s">
        <v>102</v>
      </c>
      <c r="V86" s="180" t="s">
        <v>122</v>
      </c>
      <c r="W86" s="181"/>
      <c r="X86" s="32"/>
      <c r="Y86" s="32"/>
      <c r="Z86" s="32"/>
      <c r="AA86" s="32"/>
      <c r="AB86" s="32"/>
      <c r="AC86" s="32"/>
      <c r="AK86" s="130"/>
      <c r="AL86" s="130"/>
      <c r="AM86" s="130"/>
      <c r="AN86" s="130"/>
      <c r="AO86" s="130"/>
      <c r="AP86" s="130"/>
      <c r="AQ86" s="130"/>
      <c r="AR86" s="130"/>
      <c r="AS86" s="130"/>
      <c r="AT86" s="130"/>
      <c r="AU86" s="130"/>
      <c r="AV86" s="130"/>
      <c r="AW86" s="130"/>
      <c r="AX86" s="130"/>
      <c r="AY86" s="130"/>
      <c r="AZ86" s="130"/>
      <c r="BA86" s="130"/>
      <c r="BB86" s="130"/>
      <c r="BC86" s="130"/>
      <c r="BD86" s="130"/>
      <c r="BE86" s="130"/>
      <c r="BF86" s="130"/>
      <c r="BG86" s="130"/>
      <c r="BH86" s="130"/>
    </row>
    <row r="87" ht="31" customHeight="1" spans="1:60">
      <c r="A87" s="36"/>
      <c r="B87" s="134"/>
      <c r="C87" s="134"/>
      <c r="D87" s="143"/>
      <c r="E87" s="144"/>
      <c r="F87" s="145"/>
      <c r="G87" s="146"/>
      <c r="H87" s="147"/>
      <c r="I87" s="150"/>
      <c r="J87" s="135"/>
      <c r="K87" s="158"/>
      <c r="L87" s="165" t="str">
        <f>IF(B87&lt;&gt;"",U87,"")</f>
        <v/>
      </c>
      <c r="M87" s="165" t="str">
        <f>IF(B87&lt;&gt;"",SUM(P87:T87)*L87,"")</f>
        <v/>
      </c>
      <c r="N87" s="160"/>
      <c r="O87" s="160"/>
      <c r="P87" s="32">
        <f>IF(AND(B87="国家级",OR(C87="一等奖",C87="金奖")),30,IF(AND(B87="国家级",OR(C87="二等奖",C87="银奖")),24,IF(AND(B87="国家级",OR(C87="三等奖",C87="铜奖",C87="无等级")),18,0)))</f>
        <v>0</v>
      </c>
      <c r="Q87" s="32">
        <f>IF(AND(B87="市级",OR(C87="一等奖",C87="金奖")),9,IF(AND(B87="市级",OR(C87="二等奖",C87="银奖")),7,IF(AND(B87="市级",OR(C87="三等奖",C87="铜奖",C87="无等级")),5,0)))</f>
        <v>0</v>
      </c>
      <c r="R87" s="32">
        <f>IF(AND(B87="校级",OR(C87="一等奖",C87="金奖")),5,IF(AND(B87="校级",OR(C87="二等奖",C87="银奖")),3,IF(AND(B87="校级",OR(C87="三等奖",C87="铜奖",C87="无等级")),2,0)))</f>
        <v>0</v>
      </c>
      <c r="S87" s="182">
        <f>IF(AND(B87="国家开放大学",OR(C87="一等奖",C87="金奖")),15,IF(AND(B87="国家开放大学",OR(C87="二等奖",C87="银奖")),12,IF(AND(B87="国家开放大学",OR(C87="三等奖",C87="铜奖",C87="无等级")),9,0)))</f>
        <v>0</v>
      </c>
      <c r="T87" s="182">
        <f>IF(AND(B87="省级",OR(C87="一等奖",C87="金奖")),15,IF(AND(B87="省级",OR(C87="二等奖",C87="银奖")),12,IF(AND(B87="省级",OR(C87="三等奖",C87="铜奖",C87="无等级")),9,0)))</f>
        <v>0</v>
      </c>
      <c r="U87" s="160">
        <v>1</v>
      </c>
      <c r="V87" s="183">
        <f>IF(OR(B87="",B87="校级",B87="市级"),0,1)</f>
        <v>0</v>
      </c>
      <c r="W87" s="184"/>
      <c r="X87" s="160"/>
      <c r="Y87" s="160"/>
      <c r="Z87" s="160"/>
      <c r="AA87" s="160"/>
      <c r="AB87" s="160"/>
      <c r="AC87" s="160"/>
      <c r="AD87" s="160"/>
      <c r="AE87" s="160"/>
      <c r="AK87" s="130"/>
      <c r="AL87" s="130"/>
      <c r="AM87" s="130"/>
      <c r="AN87" s="130"/>
      <c r="AO87" s="130"/>
      <c r="AP87" s="130"/>
      <c r="AQ87" s="130"/>
      <c r="AR87" s="130"/>
      <c r="AS87" s="130"/>
      <c r="AT87" s="130"/>
      <c r="AU87" s="130"/>
      <c r="AV87" s="130"/>
      <c r="AW87" s="130"/>
      <c r="AX87" s="130"/>
      <c r="AY87" s="130"/>
      <c r="AZ87" s="130"/>
      <c r="BA87" s="130"/>
      <c r="BB87" s="130"/>
      <c r="BC87" s="130"/>
      <c r="BD87" s="130"/>
      <c r="BE87" s="130"/>
      <c r="BF87" s="130"/>
      <c r="BG87" s="130"/>
      <c r="BH87" s="130"/>
    </row>
    <row r="88" ht="31" customHeight="1" spans="1:60">
      <c r="A88" s="36"/>
      <c r="B88" s="134"/>
      <c r="C88" s="134"/>
      <c r="D88" s="143"/>
      <c r="E88" s="144"/>
      <c r="F88" s="145"/>
      <c r="G88" s="146"/>
      <c r="H88" s="147"/>
      <c r="I88" s="150"/>
      <c r="J88" s="135"/>
      <c r="K88" s="158"/>
      <c r="L88" s="165" t="str">
        <f>IF(B88&lt;&gt;"",U88,"")</f>
        <v/>
      </c>
      <c r="M88" s="165" t="str">
        <f>IF(B88&lt;&gt;"",SUM(P88:T88)*L88,"")</f>
        <v/>
      </c>
      <c r="N88" s="160"/>
      <c r="O88" s="160"/>
      <c r="P88" s="32">
        <f>IF(AND(B88="国家级",OR(C88="一等奖",C88="金奖")),30,IF(AND(B88="国家级",OR(C88="二等奖",C88="银奖")),24,IF(AND(B88="国家级",OR(C88="三等奖",C88="铜奖",C88="无等级")),18,0)))</f>
        <v>0</v>
      </c>
      <c r="Q88" s="32">
        <f>IF(AND(B88="市级",OR(C88="一等奖",C88="金奖")),9,IF(AND(B88="市级",OR(C88="二等奖",C88="银奖")),7,IF(AND(B88="市级",OR(C88="三等奖",C88="铜奖",C88="无等级")),5,0)))</f>
        <v>0</v>
      </c>
      <c r="R88" s="32">
        <f>IF(AND(B88="校级",OR(C88="一等奖",C88="金奖")),5,IF(AND(B88="校级",OR(C88="二等奖",C88="银奖")),3,IF(AND(B88="校级",OR(C88="三等奖",C88="铜奖",C88="无等级")),2,0)))</f>
        <v>0</v>
      </c>
      <c r="S88" s="182">
        <f>IF(AND(B88="国家开放大学",OR(C88="一等奖",C88="金奖")),15,IF(AND(B88="国家开放大学",OR(C88="二等奖",C88="银奖")),12,IF(AND(B88="国家开放大学",OR(C88="三等奖",C88="铜奖",C88="无等级")),9,0)))</f>
        <v>0</v>
      </c>
      <c r="T88" s="182">
        <f>IF(AND(B88="省级",OR(C88="一等奖",C88="金奖")),15,IF(AND(B88="省级",OR(C88="二等奖",C88="银奖")),12,IF(AND(B88="省级",OR(C88="三等奖",C88="铜奖",C88="无等级")),9,0)))</f>
        <v>0</v>
      </c>
      <c r="U88" s="160">
        <v>1</v>
      </c>
      <c r="V88" s="183">
        <f>IF(OR(B88="",B88="校级",B88="市级"),0,1)</f>
        <v>0</v>
      </c>
      <c r="W88" s="184"/>
      <c r="X88" s="160"/>
      <c r="Y88" s="160"/>
      <c r="Z88" s="160"/>
      <c r="AA88" s="160"/>
      <c r="AB88" s="160"/>
      <c r="AC88" s="160"/>
      <c r="AD88" s="160"/>
      <c r="AE88" s="160"/>
      <c r="AK88" s="130"/>
      <c r="AL88" s="130"/>
      <c r="AM88" s="130"/>
      <c r="AN88" s="130"/>
      <c r="AO88" s="130"/>
      <c r="AP88" s="130"/>
      <c r="AQ88" s="130"/>
      <c r="AR88" s="130"/>
      <c r="AS88" s="130"/>
      <c r="AT88" s="130"/>
      <c r="AU88" s="130"/>
      <c r="AV88" s="130"/>
      <c r="AW88" s="130"/>
      <c r="AX88" s="130"/>
      <c r="AY88" s="130"/>
      <c r="AZ88" s="130"/>
      <c r="BA88" s="130"/>
      <c r="BB88" s="130"/>
      <c r="BC88" s="130"/>
      <c r="BD88" s="130"/>
      <c r="BE88" s="130"/>
      <c r="BF88" s="130"/>
      <c r="BG88" s="130"/>
      <c r="BH88" s="130"/>
    </row>
    <row r="89" ht="31" customHeight="1" spans="1:60">
      <c r="A89" s="36"/>
      <c r="B89" s="136" t="s">
        <v>55</v>
      </c>
      <c r="C89" s="137"/>
      <c r="D89" s="137"/>
      <c r="E89" s="137"/>
      <c r="F89" s="137"/>
      <c r="G89" s="137"/>
      <c r="H89" s="137"/>
      <c r="I89" s="137"/>
      <c r="J89" s="137"/>
      <c r="K89" s="137"/>
      <c r="L89" s="161"/>
      <c r="M89" s="165">
        <f>IF(M87&lt;&gt;"",SUM(M87:M88),0)</f>
        <v>0</v>
      </c>
      <c r="N89" s="162"/>
      <c r="O89" s="162"/>
      <c r="AK89" s="130"/>
      <c r="AL89" s="130"/>
      <c r="AM89" s="130"/>
      <c r="AN89" s="130"/>
      <c r="AO89" s="130"/>
      <c r="AP89" s="130"/>
      <c r="AQ89" s="130"/>
      <c r="AR89" s="130"/>
      <c r="AS89" s="130"/>
      <c r="AT89" s="130"/>
      <c r="AU89" s="130"/>
      <c r="AV89" s="130"/>
      <c r="AW89" s="130"/>
      <c r="AX89" s="130"/>
      <c r="AY89" s="130"/>
      <c r="AZ89" s="130"/>
      <c r="BA89" s="130"/>
      <c r="BB89" s="130"/>
      <c r="BC89" s="130"/>
      <c r="BD89" s="130"/>
      <c r="BE89" s="130"/>
      <c r="BF89" s="130"/>
      <c r="BG89" s="130"/>
      <c r="BH89" s="130"/>
    </row>
    <row r="90" ht="31" customHeight="1" spans="1:60">
      <c r="A90" s="36"/>
      <c r="B90" s="77" t="s">
        <v>123</v>
      </c>
      <c r="C90" s="77"/>
      <c r="D90" s="77"/>
      <c r="E90" s="77"/>
      <c r="F90" s="77"/>
      <c r="G90" s="77"/>
      <c r="H90" s="77"/>
      <c r="I90" s="77"/>
      <c r="J90" s="77"/>
      <c r="K90" s="77"/>
      <c r="L90" s="77"/>
      <c r="M90" s="77"/>
      <c r="N90" s="77"/>
      <c r="O90" s="77"/>
      <c r="AK90" s="130"/>
      <c r="AL90" s="130"/>
      <c r="AM90" s="130"/>
      <c r="AN90" s="130"/>
      <c r="AO90" s="130"/>
      <c r="AP90" s="130"/>
      <c r="AQ90" s="130"/>
      <c r="AR90" s="130"/>
      <c r="AS90" s="130"/>
      <c r="AT90" s="130"/>
      <c r="AU90" s="130"/>
      <c r="AV90" s="130"/>
      <c r="AW90" s="130"/>
      <c r="AX90" s="130"/>
      <c r="AY90" s="130"/>
      <c r="AZ90" s="130"/>
      <c r="BA90" s="130"/>
      <c r="BB90" s="130"/>
      <c r="BC90" s="130"/>
      <c r="BD90" s="130"/>
      <c r="BE90" s="130"/>
      <c r="BF90" s="130"/>
      <c r="BG90" s="130"/>
      <c r="BH90" s="130"/>
    </row>
    <row r="91" ht="31" customHeight="1" spans="1:60">
      <c r="A91" s="36"/>
      <c r="B91" s="138" t="s">
        <v>124</v>
      </c>
      <c r="C91" s="138"/>
      <c r="D91" s="138"/>
      <c r="E91" s="138"/>
      <c r="F91" s="138"/>
      <c r="G91" s="138"/>
      <c r="H91" s="138"/>
      <c r="I91" s="138"/>
      <c r="J91" s="138"/>
      <c r="K91" s="138"/>
      <c r="L91" s="138"/>
      <c r="M91" s="138"/>
      <c r="N91" s="138"/>
      <c r="O91" s="138"/>
      <c r="AK91" s="130"/>
      <c r="AL91" s="130"/>
      <c r="AM91" s="130"/>
      <c r="AN91" s="130"/>
      <c r="AO91" s="130"/>
      <c r="AP91" s="130"/>
      <c r="AQ91" s="130"/>
      <c r="AR91" s="130"/>
      <c r="AS91" s="130"/>
      <c r="AT91" s="130"/>
      <c r="AU91" s="130"/>
      <c r="AV91" s="130"/>
      <c r="AW91" s="130"/>
      <c r="AX91" s="130"/>
      <c r="AY91" s="130"/>
      <c r="AZ91" s="130"/>
      <c r="BA91" s="130"/>
      <c r="BB91" s="130"/>
      <c r="BC91" s="130"/>
      <c r="BD91" s="130"/>
      <c r="BE91" s="130"/>
      <c r="BF91" s="130"/>
      <c r="BG91" s="130"/>
      <c r="BH91" s="130"/>
    </row>
    <row r="92" ht="31" customHeight="1" spans="1:60">
      <c r="A92" s="36"/>
      <c r="B92" s="87" t="s">
        <v>125</v>
      </c>
      <c r="C92" s="61" t="s">
        <v>126</v>
      </c>
      <c r="D92" s="61"/>
      <c r="E92" s="61"/>
      <c r="F92" s="61" t="s">
        <v>127</v>
      </c>
      <c r="G92" s="61"/>
      <c r="H92" s="61" t="s">
        <v>128</v>
      </c>
      <c r="I92" s="61" t="s">
        <v>88</v>
      </c>
      <c r="J92" s="61" t="s">
        <v>89</v>
      </c>
      <c r="K92" s="61" t="s">
        <v>100</v>
      </c>
      <c r="L92" s="61" t="s">
        <v>91</v>
      </c>
      <c r="M92" s="61" t="s">
        <v>92</v>
      </c>
      <c r="N92" s="61" t="s">
        <v>38</v>
      </c>
      <c r="O92" s="61" t="s">
        <v>39</v>
      </c>
      <c r="P92" s="32" t="s">
        <v>102</v>
      </c>
      <c r="Q92" s="127" t="s">
        <v>129</v>
      </c>
      <c r="R92" s="127" t="s">
        <v>130</v>
      </c>
      <c r="S92" s="127" t="s">
        <v>131</v>
      </c>
      <c r="T92" s="127" t="s">
        <v>132</v>
      </c>
      <c r="U92" s="127" t="s">
        <v>133</v>
      </c>
      <c r="V92" s="127" t="s">
        <v>134</v>
      </c>
      <c r="W92" s="127" t="s">
        <v>135</v>
      </c>
      <c r="X92" s="127" t="s">
        <v>136</v>
      </c>
      <c r="Y92" s="163" t="s">
        <v>137</v>
      </c>
      <c r="Z92" s="180" t="s">
        <v>138</v>
      </c>
      <c r="AA92" s="181"/>
      <c r="AB92" s="118" t="s">
        <v>139</v>
      </c>
      <c r="AC92" s="180" t="s">
        <v>140</v>
      </c>
      <c r="AD92" s="181"/>
      <c r="AK92" s="130"/>
      <c r="AL92" s="130"/>
      <c r="AM92" s="130"/>
      <c r="AN92" s="130"/>
      <c r="AO92" s="130"/>
      <c r="AP92" s="130"/>
      <c r="AQ92" s="130"/>
      <c r="AR92" s="130"/>
      <c r="AS92" s="130"/>
      <c r="AT92" s="130"/>
      <c r="AU92" s="130"/>
      <c r="AV92" s="130"/>
      <c r="AW92" s="130"/>
      <c r="AX92" s="130"/>
      <c r="AY92" s="130"/>
      <c r="AZ92" s="130"/>
      <c r="BA92" s="130"/>
      <c r="BB92" s="130"/>
      <c r="BC92" s="130"/>
      <c r="BD92" s="130"/>
      <c r="BE92" s="130"/>
      <c r="BF92" s="130"/>
      <c r="BG92" s="130"/>
      <c r="BH92" s="130"/>
    </row>
    <row r="93" ht="31" customHeight="1" spans="1:60">
      <c r="A93" s="36"/>
      <c r="B93" s="134"/>
      <c r="C93" s="135"/>
      <c r="D93" s="148"/>
      <c r="E93" s="148"/>
      <c r="F93" s="135"/>
      <c r="G93" s="148"/>
      <c r="H93" s="135"/>
      <c r="I93" s="135"/>
      <c r="J93" s="171"/>
      <c r="K93" s="158"/>
      <c r="L93" s="165" t="str">
        <f>IF(B93&lt;&gt;"",IF(I93="独立完成",1,IF(I93="合作完成",P93))*(IF(H93="否",0.5,IF(H93="是",1,0))),"")</f>
        <v/>
      </c>
      <c r="M93" s="165" t="str">
        <f>IF(B93&lt;&gt;"",SUM(Q93:X93)*L93,"")</f>
        <v/>
      </c>
      <c r="N93" s="160"/>
      <c r="O93" s="160"/>
      <c r="P93" s="160">
        <f>IF(K93=1,0.8,IF(K93=2,0.2,IF(K93&gt;2,0.1,0)))</f>
        <v>0</v>
      </c>
      <c r="Q93" s="166">
        <f>IF(B93="JA三大检索",20,0)</f>
        <v>0</v>
      </c>
      <c r="R93" s="166">
        <f>IF(B93="中文核心期刊",15,0)</f>
        <v>0</v>
      </c>
      <c r="S93" s="166">
        <f>IF(B93="CA三大检索",8,0)</f>
        <v>0</v>
      </c>
      <c r="T93" s="166">
        <f>IF(B93="一般期刊、外文期刊",5,0)</f>
        <v>0</v>
      </c>
      <c r="U93" s="166">
        <f>IF(B93="国际学术会议论文集",5,0)</f>
        <v>0</v>
      </c>
      <c r="V93" s="166">
        <f>IF(B93="国家级重要报刊",15,0)</f>
        <v>0</v>
      </c>
      <c r="W93" s="166">
        <f>IF(B93="省级重要报刊理论版",12,0)</f>
        <v>0</v>
      </c>
      <c r="X93" s="166">
        <f>IF(B93="市级重要报刊",5,0)</f>
        <v>0</v>
      </c>
      <c r="Y93" s="163" t="str">
        <f>IF(B93&lt;&gt;"",(IF(OR(B93="一般期刊、外文期刊",B93="国际学术会议论文集",B93="市级重要报刊"),5,IF(OR(B93="中文核心期刊",B93="国家级重要报刊"),15,IF(B93="CA三大检索",8,IF(B93="JA三大检索",20,IF(B93="省级重要报刊理论版",12,0))))))*L93,"")</f>
        <v/>
      </c>
      <c r="Z93" s="180">
        <f>IF(AND(OR(B93="JA三大检索",B93="中文核心期刊"),OR(I93="独立完成",K93=1)),1,0)</f>
        <v>0</v>
      </c>
      <c r="AA93" s="181"/>
      <c r="AB93" s="32">
        <f>IF(OR(I93="独立完成",K93=1),1,0)</f>
        <v>0</v>
      </c>
      <c r="AC93" s="180">
        <f>IF(AND(OR(B93="国家级重要报刊",B93="省级重要报刊理论版"),OR(I93="独立完成",K93=1)),1,0)</f>
        <v>0</v>
      </c>
      <c r="AD93" s="181"/>
      <c r="AK93" s="130"/>
      <c r="AL93" s="130"/>
      <c r="AM93" s="130"/>
      <c r="AN93" s="130"/>
      <c r="AO93" s="130"/>
      <c r="AP93" s="130"/>
      <c r="AQ93" s="130"/>
      <c r="AR93" s="130"/>
      <c r="AS93" s="130"/>
      <c r="AT93" s="130"/>
      <c r="AU93" s="130"/>
      <c r="AV93" s="130"/>
      <c r="AW93" s="130"/>
      <c r="AX93" s="130"/>
      <c r="AY93" s="130"/>
      <c r="AZ93" s="130"/>
      <c r="BA93" s="130"/>
      <c r="BB93" s="130"/>
      <c r="BC93" s="130"/>
      <c r="BD93" s="130"/>
      <c r="BE93" s="130"/>
      <c r="BF93" s="130"/>
      <c r="BG93" s="130"/>
      <c r="BH93" s="130"/>
    </row>
    <row r="94" ht="31" customHeight="1" spans="1:60">
      <c r="A94" s="36"/>
      <c r="B94" s="134"/>
      <c r="C94" s="135"/>
      <c r="D94" s="148"/>
      <c r="E94" s="148"/>
      <c r="F94" s="135"/>
      <c r="G94" s="148"/>
      <c r="H94" s="135"/>
      <c r="I94" s="135"/>
      <c r="J94" s="171"/>
      <c r="K94" s="158"/>
      <c r="L94" s="165" t="str">
        <f>IF(B94&lt;&gt;"",IF(I94="独立完成",1,IF(I94="合作完成",P94))*(IF(H94="否",0.5,IF(H94="是",1,0))),"")</f>
        <v/>
      </c>
      <c r="M94" s="165" t="str">
        <f>IF(B94&lt;&gt;"",SUM(Q94:X94)*L94,"")</f>
        <v/>
      </c>
      <c r="N94" s="160"/>
      <c r="O94" s="160"/>
      <c r="P94" s="160">
        <f>IF(K94=1,0.8,IF(K94=2,0.2,IF(K94&gt;2,0.1,0)))</f>
        <v>0</v>
      </c>
      <c r="Q94" s="166">
        <f>IF(B94="JA三大检索",20,0)</f>
        <v>0</v>
      </c>
      <c r="R94" s="166">
        <f>IF(B94="中文核心期刊",15,0)</f>
        <v>0</v>
      </c>
      <c r="S94" s="166">
        <f>IF(B94="CA三大检索",8,0)</f>
        <v>0</v>
      </c>
      <c r="T94" s="166">
        <f>IF(B94="一般期刊、外文期刊",5,0)</f>
        <v>0</v>
      </c>
      <c r="U94" s="166">
        <f>IF(B94="国际学术会议论文集",5,0)</f>
        <v>0</v>
      </c>
      <c r="V94" s="166">
        <f>IF(B94="国家级重要报刊",15,0)</f>
        <v>0</v>
      </c>
      <c r="W94" s="166">
        <f>IF(B94="省级重要报刊理论版",12,0)</f>
        <v>0</v>
      </c>
      <c r="X94" s="166">
        <f>IF(B94="市级重要报刊",5,0)</f>
        <v>0</v>
      </c>
      <c r="Y94" s="163" t="str">
        <f>IF(B94&lt;&gt;"",(IF(OR(B94="一般期刊、外文期刊",B94="国际学术会议论文集",B94="市级重要报刊"),5,IF(OR(B94="中文核心期刊",B94="国家级重要报刊"),15,IF(B94="CA三大检索",8,IF(B94="JA三大检索",20,IF(B94="省级重要报刊理论版",12,0))))))*L94,"")</f>
        <v/>
      </c>
      <c r="Z94" s="180">
        <f>IF(AND(OR(B94="JA三大检索",B94="中文核心期刊"),OR(I94="独立完成",K94=1)),1,0)</f>
        <v>0</v>
      </c>
      <c r="AA94" s="181"/>
      <c r="AB94" s="32">
        <f>IF(OR(I94="独立完成",K94=1),1,0)</f>
        <v>0</v>
      </c>
      <c r="AC94" s="180">
        <f>IF(AND(OR(B94="国家级重要报刊",B94="省级重要报刊理论版"),OR(I94="独立完成",K94=1)),1,0)</f>
        <v>0</v>
      </c>
      <c r="AD94" s="181"/>
      <c r="AK94" s="130"/>
      <c r="AL94" s="130"/>
      <c r="AM94" s="130"/>
      <c r="AN94" s="130"/>
      <c r="AO94" s="130"/>
      <c r="AP94" s="130"/>
      <c r="AQ94" s="130"/>
      <c r="AR94" s="130"/>
      <c r="AS94" s="130"/>
      <c r="AT94" s="130"/>
      <c r="AU94" s="130"/>
      <c r="AV94" s="130"/>
      <c r="AW94" s="130"/>
      <c r="AX94" s="130"/>
      <c r="AY94" s="130"/>
      <c r="AZ94" s="130"/>
      <c r="BA94" s="130"/>
      <c r="BB94" s="130"/>
      <c r="BC94" s="130"/>
      <c r="BD94" s="130"/>
      <c r="BE94" s="130"/>
      <c r="BF94" s="130"/>
      <c r="BG94" s="130"/>
      <c r="BH94" s="130"/>
    </row>
    <row r="95" ht="31" customHeight="1" spans="1:60">
      <c r="A95" s="36"/>
      <c r="B95" s="134"/>
      <c r="C95" s="135"/>
      <c r="D95" s="148"/>
      <c r="E95" s="148"/>
      <c r="F95" s="135"/>
      <c r="G95" s="148"/>
      <c r="H95" s="135"/>
      <c r="I95" s="135"/>
      <c r="J95" s="171"/>
      <c r="K95" s="158"/>
      <c r="L95" s="165" t="str">
        <f>IF(B95&lt;&gt;"",IF(I95="独立完成",1,IF(I95="合作完成",P95))*(IF(H95="否",0.5,IF(H95="是",1,0))),"")</f>
        <v/>
      </c>
      <c r="M95" s="165" t="str">
        <f>IF(B95&lt;&gt;"",SUM(Q95:X95)*L95,"")</f>
        <v/>
      </c>
      <c r="N95" s="160"/>
      <c r="O95" s="160"/>
      <c r="P95" s="160">
        <f>IF(K95=1,0.8,IF(K95=2,0.2,IF(K95&gt;2,0.1,0)))</f>
        <v>0</v>
      </c>
      <c r="Q95" s="166">
        <f>IF(B95="JA三大检索",20,0)</f>
        <v>0</v>
      </c>
      <c r="R95" s="166">
        <f>IF(B95="中文核心期刊",15,0)</f>
        <v>0</v>
      </c>
      <c r="S95" s="166">
        <f>IF(B95="CA三大检索",8,0)</f>
        <v>0</v>
      </c>
      <c r="T95" s="166">
        <f>IF(B95="一般期刊、外文期刊",5,0)</f>
        <v>0</v>
      </c>
      <c r="U95" s="166">
        <f>IF(B95="国际学术会议论文集",5,0)</f>
        <v>0</v>
      </c>
      <c r="V95" s="166">
        <f>IF(B95="国家级重要报刊",15,0)</f>
        <v>0</v>
      </c>
      <c r="W95" s="166">
        <f>IF(B95="省级重要报刊理论版",12,0)</f>
        <v>0</v>
      </c>
      <c r="X95" s="166">
        <f>IF(B95="市级重要报刊",5,0)</f>
        <v>0</v>
      </c>
      <c r="Y95" s="163" t="str">
        <f>IF(B95&lt;&gt;"",(IF(OR(B95="一般期刊、外文期刊",B95="国际学术会议论文集",B95="市级重要报刊"),5,IF(OR(B95="中文核心期刊",B95="国家级重要报刊"),15,IF(B95="CA三大检索",8,IF(B95="JA三大检索",20,IF(B95="省级重要报刊理论版",12,0))))))*L95,"")</f>
        <v/>
      </c>
      <c r="Z95" s="180">
        <f>IF(AND(OR(B95="JA三大检索",B95="中文核心期刊"),OR(I95="独立完成",K95=1)),1,0)</f>
        <v>0</v>
      </c>
      <c r="AA95" s="181"/>
      <c r="AB95" s="32">
        <f>IF(OR(I95="独立完成",K95=1),1,0)</f>
        <v>0</v>
      </c>
      <c r="AC95" s="180">
        <f>IF(AND(OR(B95="国家级重要报刊",B95="省级重要报刊理论版"),OR(I95="独立完成",K95=1)),1,0)</f>
        <v>0</v>
      </c>
      <c r="AD95" s="181"/>
      <c r="AK95" s="130"/>
      <c r="AL95" s="130"/>
      <c r="AM95" s="130"/>
      <c r="AN95" s="130"/>
      <c r="AO95" s="130"/>
      <c r="AP95" s="130"/>
      <c r="AQ95" s="130"/>
      <c r="AR95" s="130"/>
      <c r="AS95" s="130"/>
      <c r="AT95" s="130"/>
      <c r="AU95" s="130"/>
      <c r="AV95" s="130"/>
      <c r="AW95" s="130"/>
      <c r="AX95" s="130"/>
      <c r="AY95" s="130"/>
      <c r="AZ95" s="130"/>
      <c r="BA95" s="130"/>
      <c r="BB95" s="130"/>
      <c r="BC95" s="130"/>
      <c r="BD95" s="130"/>
      <c r="BE95" s="130"/>
      <c r="BF95" s="130"/>
      <c r="BG95" s="130"/>
      <c r="BH95" s="130"/>
    </row>
    <row r="96" ht="31" customHeight="1" spans="1:60">
      <c r="A96" s="36"/>
      <c r="B96" s="134"/>
      <c r="C96" s="135"/>
      <c r="D96" s="148"/>
      <c r="E96" s="148"/>
      <c r="F96" s="135"/>
      <c r="G96" s="148"/>
      <c r="H96" s="135"/>
      <c r="I96" s="135"/>
      <c r="J96" s="171"/>
      <c r="K96" s="158"/>
      <c r="L96" s="165" t="str">
        <f>IF(B96&lt;&gt;"",IF(I96="独立完成",1,IF(I96="合作完成",P96))*(IF(H96="否",0.5,IF(H96="是",1,0))),"")</f>
        <v/>
      </c>
      <c r="M96" s="165" t="str">
        <f>IF(B96&lt;&gt;"",SUM(Q96:X96)*L96,"")</f>
        <v/>
      </c>
      <c r="N96" s="160"/>
      <c r="O96" s="160"/>
      <c r="P96" s="160">
        <f>IF(K96=1,0.8,IF(K96=2,0.2,IF(K96&gt;2,0.1,0)))</f>
        <v>0</v>
      </c>
      <c r="Q96" s="166">
        <f>IF(B96="JA三大检索",20,0)</f>
        <v>0</v>
      </c>
      <c r="R96" s="166">
        <f>IF(B96="中文核心期刊",15,0)</f>
        <v>0</v>
      </c>
      <c r="S96" s="166">
        <f>IF(B96="CA三大检索",8,0)</f>
        <v>0</v>
      </c>
      <c r="T96" s="166">
        <f>IF(B96="一般期刊、外文期刊",5,0)</f>
        <v>0</v>
      </c>
      <c r="U96" s="166">
        <f>IF(B96="国际学术会议论文集",5,0)</f>
        <v>0</v>
      </c>
      <c r="V96" s="166">
        <f>IF(B96="国家级重要报刊",15,0)</f>
        <v>0</v>
      </c>
      <c r="W96" s="166">
        <f>IF(B96="省级重要报刊理论版",12,0)</f>
        <v>0</v>
      </c>
      <c r="X96" s="166">
        <f>IF(B96="市级重要报刊",5,0)</f>
        <v>0</v>
      </c>
      <c r="Y96" s="163" t="str">
        <f>IF(B96&lt;&gt;"",(IF(OR(B96="一般期刊、外文期刊",B96="国际学术会议论文集",B96="市级重要报刊"),5,IF(OR(B96="中文核心期刊",B96="国家级重要报刊"),15,IF(B96="CA三大检索",8,IF(B96="JA三大检索",20,IF(B96="省级重要报刊理论版",12,0))))))*L96,"")</f>
        <v/>
      </c>
      <c r="Z96" s="180">
        <f>IF(AND(OR(B96="JA三大检索",B96="中文核心期刊"),OR(I96="独立完成",K96=1)),1,0)</f>
        <v>0</v>
      </c>
      <c r="AA96" s="181"/>
      <c r="AB96" s="32">
        <f>IF(OR(I96="独立完成",K96=1),1,0)</f>
        <v>0</v>
      </c>
      <c r="AC96" s="180">
        <f>IF(AND(OR(B96="国家级重要报刊",B96="省级重要报刊理论版"),OR(I96="独立完成",K96=1)),1,0)</f>
        <v>0</v>
      </c>
      <c r="AD96" s="181"/>
      <c r="AK96" s="130"/>
      <c r="AL96" s="130"/>
      <c r="AM96" s="130"/>
      <c r="AN96" s="130"/>
      <c r="AO96" s="130"/>
      <c r="AP96" s="130"/>
      <c r="AQ96" s="130"/>
      <c r="AR96" s="130"/>
      <c r="AS96" s="130"/>
      <c r="AT96" s="130"/>
      <c r="AU96" s="130"/>
      <c r="AV96" s="130"/>
      <c r="AW96" s="130"/>
      <c r="AX96" s="130"/>
      <c r="AY96" s="130"/>
      <c r="AZ96" s="130"/>
      <c r="BA96" s="130"/>
      <c r="BB96" s="130"/>
      <c r="BC96" s="130"/>
      <c r="BD96" s="130"/>
      <c r="BE96" s="130"/>
      <c r="BF96" s="130"/>
      <c r="BG96" s="130"/>
      <c r="BH96" s="130"/>
    </row>
    <row r="97" ht="31" customHeight="1" spans="1:60">
      <c r="A97" s="36"/>
      <c r="B97" s="136" t="s">
        <v>55</v>
      </c>
      <c r="C97" s="137"/>
      <c r="D97" s="137"/>
      <c r="E97" s="137"/>
      <c r="F97" s="137"/>
      <c r="G97" s="137"/>
      <c r="H97" s="137"/>
      <c r="I97" s="137"/>
      <c r="J97" s="137"/>
      <c r="K97" s="137"/>
      <c r="L97" s="161"/>
      <c r="M97" s="165">
        <f>IF(M93&lt;&gt;"",SUM(M93:M96),0)</f>
        <v>0</v>
      </c>
      <c r="N97" s="169"/>
      <c r="O97" s="169"/>
      <c r="AK97" s="130"/>
      <c r="AL97" s="130"/>
      <c r="AM97" s="130"/>
      <c r="AN97" s="130"/>
      <c r="AO97" s="130"/>
      <c r="AP97" s="130"/>
      <c r="AQ97" s="130"/>
      <c r="AR97" s="130"/>
      <c r="AS97" s="130"/>
      <c r="AT97" s="130"/>
      <c r="AU97" s="130"/>
      <c r="AV97" s="130"/>
      <c r="AW97" s="130"/>
      <c r="AX97" s="130"/>
      <c r="AY97" s="130"/>
      <c r="AZ97" s="130"/>
      <c r="BA97" s="130"/>
      <c r="BB97" s="130"/>
      <c r="BC97" s="130"/>
      <c r="BD97" s="130"/>
      <c r="BE97" s="130"/>
      <c r="BF97" s="130"/>
      <c r="BG97" s="130"/>
      <c r="BH97" s="130"/>
    </row>
    <row r="98" ht="28" customHeight="1" spans="1:60">
      <c r="A98" s="36"/>
      <c r="B98" s="149" t="s">
        <v>141</v>
      </c>
      <c r="C98" s="149"/>
      <c r="D98" s="149"/>
      <c r="E98" s="149"/>
      <c r="F98" s="149"/>
      <c r="G98" s="149"/>
      <c r="H98" s="149"/>
      <c r="I98" s="149"/>
      <c r="J98" s="149"/>
      <c r="K98" s="149"/>
      <c r="L98" s="149"/>
      <c r="M98" s="149"/>
      <c r="N98" s="149"/>
      <c r="O98" s="149"/>
      <c r="AK98" s="33"/>
      <c r="AL98" s="33"/>
      <c r="AM98" s="33"/>
      <c r="AN98" s="33"/>
      <c r="AO98" s="33"/>
      <c r="AP98" s="130"/>
      <c r="AQ98" s="130"/>
      <c r="AR98" s="130"/>
      <c r="AS98" s="130"/>
      <c r="AT98" s="130"/>
      <c r="AU98" s="130"/>
      <c r="AV98" s="130"/>
      <c r="AW98" s="130"/>
      <c r="AX98" s="130"/>
      <c r="AY98" s="130"/>
      <c r="AZ98" s="130"/>
      <c r="BA98" s="130"/>
      <c r="BB98" s="130"/>
      <c r="BC98" s="130"/>
      <c r="BD98" s="130"/>
      <c r="BE98" s="130"/>
      <c r="BF98" s="130"/>
      <c r="BG98" s="130"/>
      <c r="BH98" s="130"/>
    </row>
    <row r="99" ht="28" customHeight="1" spans="1:60">
      <c r="A99" s="36"/>
      <c r="B99" s="61" t="s">
        <v>59</v>
      </c>
      <c r="C99" s="61" t="s">
        <v>84</v>
      </c>
      <c r="D99" s="61"/>
      <c r="E99" s="61" t="s">
        <v>85</v>
      </c>
      <c r="F99" s="61" t="s">
        <v>86</v>
      </c>
      <c r="G99" s="61"/>
      <c r="H99" s="133" t="s">
        <v>87</v>
      </c>
      <c r="I99" s="133" t="s">
        <v>88</v>
      </c>
      <c r="J99" s="61" t="s">
        <v>89</v>
      </c>
      <c r="K99" s="61" t="s">
        <v>100</v>
      </c>
      <c r="L99" s="61" t="s">
        <v>91</v>
      </c>
      <c r="M99" s="61" t="s">
        <v>92</v>
      </c>
      <c r="N99" s="61" t="s">
        <v>38</v>
      </c>
      <c r="O99" s="61" t="s">
        <v>39</v>
      </c>
      <c r="P99" s="127"/>
      <c r="Q99" s="127"/>
      <c r="R99" s="178" t="s">
        <v>142</v>
      </c>
      <c r="S99" s="179"/>
      <c r="T99" s="175" t="s">
        <v>143</v>
      </c>
      <c r="U99" s="176"/>
      <c r="V99" s="127" t="s">
        <v>144</v>
      </c>
      <c r="W99" s="127" t="s">
        <v>145</v>
      </c>
      <c r="X99" s="127"/>
      <c r="Y99" s="127"/>
      <c r="Z99" s="127"/>
      <c r="AA99" s="127"/>
      <c r="AB99" s="127"/>
      <c r="AC99" s="127"/>
      <c r="AD99" s="127"/>
      <c r="AE99" s="127"/>
      <c r="AF99" s="127"/>
      <c r="AG99" s="127"/>
      <c r="AH99" s="127"/>
      <c r="AI99" s="127"/>
      <c r="AJ99" s="175"/>
      <c r="AK99" s="33"/>
      <c r="AL99" s="33"/>
      <c r="AM99" s="33"/>
      <c r="AN99" s="33"/>
      <c r="AO99" s="33"/>
      <c r="AP99" s="130"/>
      <c r="AQ99" s="130"/>
      <c r="AR99" s="130"/>
      <c r="AS99" s="130"/>
      <c r="AT99" s="130"/>
      <c r="AU99" s="130"/>
      <c r="AV99" s="130"/>
      <c r="AW99" s="130"/>
      <c r="AX99" s="130"/>
      <c r="AY99" s="130"/>
      <c r="AZ99" s="130"/>
      <c r="BA99" s="130"/>
      <c r="BB99" s="130"/>
      <c r="BC99" s="130"/>
      <c r="BD99" s="130"/>
      <c r="BE99" s="130"/>
      <c r="BF99" s="130"/>
      <c r="BG99" s="130"/>
      <c r="BH99" s="130"/>
    </row>
    <row r="100" ht="28" customHeight="1" spans="1:60">
      <c r="A100" s="36"/>
      <c r="B100" s="134"/>
      <c r="C100" s="134"/>
      <c r="D100" s="134"/>
      <c r="E100" s="134"/>
      <c r="F100" s="135"/>
      <c r="G100" s="135"/>
      <c r="H100" s="150"/>
      <c r="I100" s="135"/>
      <c r="J100" s="158"/>
      <c r="K100" s="158"/>
      <c r="L100" s="159" t="str">
        <f>IF(B100&lt;&gt;"",IF(OR(B100="文化建设项目",B100="产教融合项目"),0,IF(OR(B100="个人荣誉",C100="社团指导教师"),1,W100+X100)),"")</f>
        <v/>
      </c>
      <c r="M100" s="159" t="str">
        <f>IF(B100&lt;&gt;"",SUM(T100:V100)*L100,"")</f>
        <v/>
      </c>
      <c r="N100" s="160"/>
      <c r="O100" s="160"/>
      <c r="P100" s="32"/>
      <c r="Q100" s="32"/>
      <c r="R100" s="180">
        <f>IF(AND(OR(I100="独立完成",K100=1),AND(C100="一流课程",OR(E100="国家级",E100="省级"))),1,0)</f>
        <v>0</v>
      </c>
      <c r="S100" s="181"/>
      <c r="T100" s="128">
        <f>IF(AND(C100="一流课程",E100="国家级"),40,IF(AND(C100="一流课程",E100="省级"),20,IF(AND(C100="一流课程",E100="市级"),10,IF(AND(C100="一流课程",E100="校级"),5,0))))</f>
        <v>0</v>
      </c>
      <c r="U100" s="129"/>
      <c r="V100" s="32">
        <f>IF(NOT(C100="一流课程"),IF(AND(B100="课程建设",E100="国家级"),25,IF(AND(B100="课程建设",E100="省级"),10,IF(AND(B100="课程建设",E100="市级"),5,IF(AND(B100="课程建设",E100="校级"),2,0)))),0)</f>
        <v>0</v>
      </c>
      <c r="W100" s="32">
        <f>IF(B100="课程建设",IF(I100="独立完成",1,IF(K100=1,0.7,IF(K100=2,0.3,IF(K100=3,0.1,IF(K100&gt;3,0.05,0))))),0)</f>
        <v>0</v>
      </c>
      <c r="X100" s="166"/>
      <c r="Y100" s="166"/>
      <c r="Z100" s="32"/>
      <c r="AA100" s="32"/>
      <c r="AB100" s="32"/>
      <c r="AC100" s="32"/>
      <c r="AD100" s="32"/>
      <c r="AE100" s="32"/>
      <c r="AF100" s="32"/>
      <c r="AG100" s="32"/>
      <c r="AH100" s="166"/>
      <c r="AI100" s="166"/>
      <c r="AJ100" s="187"/>
      <c r="AK100" s="33"/>
      <c r="AL100" s="33"/>
      <c r="AM100" s="33"/>
      <c r="AN100" s="33"/>
      <c r="AO100" s="33"/>
      <c r="AP100" s="130"/>
      <c r="AQ100" s="130"/>
      <c r="AR100" s="130"/>
      <c r="AS100" s="130"/>
      <c r="AT100" s="130"/>
      <c r="AU100" s="130"/>
      <c r="AV100" s="130"/>
      <c r="AW100" s="130"/>
      <c r="AX100" s="130"/>
      <c r="AY100" s="130"/>
      <c r="AZ100" s="130"/>
      <c r="BA100" s="130"/>
      <c r="BB100" s="130"/>
      <c r="BC100" s="130"/>
      <c r="BD100" s="130"/>
      <c r="BE100" s="130"/>
      <c r="BF100" s="130"/>
      <c r="BG100" s="130"/>
      <c r="BH100" s="130"/>
    </row>
    <row r="101" ht="28" customHeight="1" spans="1:60">
      <c r="A101" s="36"/>
      <c r="B101" s="134"/>
      <c r="C101" s="134"/>
      <c r="D101" s="134"/>
      <c r="E101" s="134"/>
      <c r="F101" s="135"/>
      <c r="G101" s="135"/>
      <c r="H101" s="150"/>
      <c r="I101" s="135"/>
      <c r="J101" s="158"/>
      <c r="K101" s="158"/>
      <c r="L101" s="159" t="str">
        <f>IF(B101&lt;&gt;"",IF(OR(B101="文化建设项目",B101="产教融合项目"),0,IF(OR(B101="个人荣誉",C101="社团指导教师"),1,W101+X101)),"")</f>
        <v/>
      </c>
      <c r="M101" s="159" t="str">
        <f>IF(B101&lt;&gt;"",SUM(T101:V101)*L101,"")</f>
        <v/>
      </c>
      <c r="N101" s="160"/>
      <c r="O101" s="160"/>
      <c r="P101" s="32"/>
      <c r="Q101" s="32"/>
      <c r="R101" s="180">
        <f>IF(AND(OR(I101="独立完成",K101=1),AND(C101="一流课程",OR(E101="国家级",E101="省级"))),1,0)</f>
        <v>0</v>
      </c>
      <c r="S101" s="181"/>
      <c r="T101" s="128">
        <f>IF(AND(C101="一流课程",E101="国家级"),40,IF(AND(C101="一流课程",E101="省级"),20,IF(AND(C101="一流课程",E101="市级"),10,IF(AND(C101="一流课程",E101="校级"),5,0))))</f>
        <v>0</v>
      </c>
      <c r="U101" s="129"/>
      <c r="V101" s="32">
        <f>IF(NOT(C101="一流课程"),IF(AND(B101="课程建设",E101="国家级"),25,IF(AND(B101="课程建设",E101="省级"),10,IF(AND(B101="课程建设",E101="市级"),5,IF(AND(B101="课程建设",E101="校级"),2,0)))),0)</f>
        <v>0</v>
      </c>
      <c r="W101" s="32">
        <f>IF(B101="课程建设",IF(I101="独立完成",1,IF(K101=1,0.7,IF(K101=2,0.3,IF(K101=3,0.1,IF(K101&gt;3,0.05,0))))),0)</f>
        <v>0</v>
      </c>
      <c r="X101" s="166"/>
      <c r="Y101" s="166"/>
      <c r="Z101" s="32"/>
      <c r="AA101" s="32"/>
      <c r="AB101" s="32"/>
      <c r="AC101" s="32"/>
      <c r="AD101" s="32"/>
      <c r="AE101" s="32"/>
      <c r="AF101" s="32"/>
      <c r="AG101" s="32"/>
      <c r="AH101" s="166"/>
      <c r="AI101" s="166"/>
      <c r="AJ101" s="187"/>
      <c r="AK101" s="33"/>
      <c r="AL101" s="33"/>
      <c r="AM101" s="33"/>
      <c r="AN101" s="33"/>
      <c r="AO101" s="33"/>
      <c r="AP101" s="130"/>
      <c r="AQ101" s="130"/>
      <c r="AR101" s="130"/>
      <c r="AS101" s="130"/>
      <c r="AT101" s="130"/>
      <c r="AU101" s="130"/>
      <c r="AV101" s="130"/>
      <c r="AW101" s="130"/>
      <c r="AX101" s="130"/>
      <c r="AY101" s="130"/>
      <c r="AZ101" s="130"/>
      <c r="BA101" s="130"/>
      <c r="BB101" s="130"/>
      <c r="BC101" s="130"/>
      <c r="BD101" s="130"/>
      <c r="BE101" s="130"/>
      <c r="BF101" s="130"/>
      <c r="BG101" s="130"/>
      <c r="BH101" s="130"/>
    </row>
    <row r="102" ht="28" customHeight="1" spans="1:60">
      <c r="A102" s="36"/>
      <c r="B102" s="136" t="s">
        <v>55</v>
      </c>
      <c r="C102" s="137"/>
      <c r="D102" s="137"/>
      <c r="E102" s="137"/>
      <c r="F102" s="137"/>
      <c r="G102" s="137"/>
      <c r="H102" s="137"/>
      <c r="I102" s="137"/>
      <c r="J102" s="137"/>
      <c r="K102" s="137"/>
      <c r="L102" s="161"/>
      <c r="M102" s="159">
        <f>SUM(M100:M101)</f>
        <v>0</v>
      </c>
      <c r="N102" s="162"/>
      <c r="O102" s="162"/>
      <c r="AK102" s="33"/>
      <c r="AL102" s="33"/>
      <c r="AM102" s="33"/>
      <c r="AN102" s="33"/>
      <c r="AO102" s="33"/>
      <c r="AP102" s="130"/>
      <c r="AQ102" s="130"/>
      <c r="AR102" s="130"/>
      <c r="AS102" s="130"/>
      <c r="AT102" s="130"/>
      <c r="AU102" s="130"/>
      <c r="AV102" s="130"/>
      <c r="AW102" s="130"/>
      <c r="AX102" s="130"/>
      <c r="AY102" s="130"/>
      <c r="AZ102" s="130"/>
      <c r="BA102" s="130"/>
      <c r="BB102" s="130"/>
      <c r="BC102" s="130"/>
      <c r="BD102" s="130"/>
      <c r="BE102" s="130"/>
      <c r="BF102" s="130"/>
      <c r="BG102" s="130"/>
      <c r="BH102" s="130"/>
    </row>
    <row r="103" ht="31" customHeight="1" spans="1:60">
      <c r="A103" s="36"/>
      <c r="B103" s="138" t="s">
        <v>146</v>
      </c>
      <c r="C103" s="138"/>
      <c r="D103" s="138"/>
      <c r="E103" s="138"/>
      <c r="F103" s="138"/>
      <c r="G103" s="138"/>
      <c r="H103" s="138"/>
      <c r="I103" s="138"/>
      <c r="J103" s="138"/>
      <c r="K103" s="138"/>
      <c r="L103" s="138"/>
      <c r="M103" s="138"/>
      <c r="N103" s="138"/>
      <c r="O103" s="138"/>
      <c r="AK103" s="130"/>
      <c r="AL103" s="130"/>
      <c r="AM103" s="130"/>
      <c r="AN103" s="130"/>
      <c r="AO103" s="130"/>
      <c r="AP103" s="130"/>
      <c r="AQ103" s="130"/>
      <c r="AR103" s="130"/>
      <c r="AS103" s="130"/>
      <c r="AT103" s="130"/>
      <c r="AU103" s="130"/>
      <c r="AV103" s="130"/>
      <c r="AW103" s="130"/>
      <c r="AX103" s="130"/>
      <c r="AY103" s="130"/>
      <c r="AZ103" s="130"/>
      <c r="BA103" s="130"/>
      <c r="BB103" s="130"/>
      <c r="BC103" s="130"/>
      <c r="BD103" s="130"/>
      <c r="BE103" s="130"/>
      <c r="BF103" s="130"/>
      <c r="BG103" s="130"/>
      <c r="BH103" s="130"/>
    </row>
    <row r="104" ht="31" customHeight="1" spans="1:60">
      <c r="A104" s="36"/>
      <c r="B104" s="87" t="s">
        <v>98</v>
      </c>
      <c r="C104" s="87" t="s">
        <v>86</v>
      </c>
      <c r="D104" s="87"/>
      <c r="E104" s="87"/>
      <c r="F104" s="87"/>
      <c r="G104" s="87" t="s">
        <v>99</v>
      </c>
      <c r="H104" s="61" t="s">
        <v>88</v>
      </c>
      <c r="I104" s="61" t="s">
        <v>89</v>
      </c>
      <c r="J104" s="61" t="s">
        <v>100</v>
      </c>
      <c r="K104" s="61" t="s">
        <v>101</v>
      </c>
      <c r="L104" s="61" t="s">
        <v>91</v>
      </c>
      <c r="M104" s="61" t="s">
        <v>92</v>
      </c>
      <c r="N104" s="61" t="s">
        <v>38</v>
      </c>
      <c r="O104" s="61" t="s">
        <v>39</v>
      </c>
      <c r="P104" s="163" t="s">
        <v>147</v>
      </c>
      <c r="Q104" s="32" t="s">
        <v>148</v>
      </c>
      <c r="R104" s="32" t="s">
        <v>102</v>
      </c>
      <c r="S104" s="127" t="s">
        <v>149</v>
      </c>
      <c r="T104" s="127" t="s">
        <v>150</v>
      </c>
      <c r="U104" s="127" t="s">
        <v>151</v>
      </c>
      <c r="V104" s="127" t="s">
        <v>152</v>
      </c>
      <c r="W104" s="127" t="s">
        <v>153</v>
      </c>
      <c r="X104" s="127" t="s">
        <v>154</v>
      </c>
      <c r="Y104" s="178" t="s">
        <v>155</v>
      </c>
      <c r="Z104" s="179"/>
      <c r="AA104" s="118"/>
      <c r="AB104" s="118"/>
      <c r="AK104" s="130"/>
      <c r="AL104" s="130"/>
      <c r="AM104" s="130"/>
      <c r="AN104" s="130"/>
      <c r="AO104" s="130"/>
      <c r="AP104" s="130"/>
      <c r="AQ104" s="130"/>
      <c r="AR104" s="130"/>
      <c r="AS104" s="130"/>
      <c r="AT104" s="130"/>
      <c r="AU104" s="130"/>
      <c r="AV104" s="130"/>
      <c r="AW104" s="130"/>
      <c r="AX104" s="130"/>
      <c r="AY104" s="130"/>
      <c r="AZ104" s="130"/>
      <c r="BA104" s="130"/>
      <c r="BB104" s="130"/>
      <c r="BC104" s="130"/>
      <c r="BD104" s="130"/>
      <c r="BE104" s="130"/>
      <c r="BF104" s="130"/>
      <c r="BG104" s="130"/>
      <c r="BH104" s="130"/>
    </row>
    <row r="105" ht="31" customHeight="1" spans="1:60">
      <c r="A105" s="36"/>
      <c r="B105" s="134"/>
      <c r="C105" s="135"/>
      <c r="D105" s="135"/>
      <c r="E105" s="135"/>
      <c r="F105" s="135"/>
      <c r="G105" s="139"/>
      <c r="H105" s="139"/>
      <c r="I105" s="139"/>
      <c r="J105" s="139"/>
      <c r="K105" s="164"/>
      <c r="L105" s="165" t="str">
        <f>IF(B105&lt;&gt;"",R105,"")</f>
        <v/>
      </c>
      <c r="M105" s="165" t="str">
        <f>IF(B105&lt;&gt;"",SUM(S105:X105)*L105,"")</f>
        <v/>
      </c>
      <c r="N105" s="160"/>
      <c r="O105" s="166"/>
      <c r="P105" s="167">
        <f>IF(B105="国家级课题项目",40,IF(B105="省级课题项目",20,IF(B105="横向课题项目",2,IF(B105="市级课题项目",7,IF(B105="校级课题项目",5,0)))))</f>
        <v>0</v>
      </c>
      <c r="Q105" s="166">
        <f>IF(AND(B105="横向课题项目",K105&gt;=1),INT((K105-1)*10)*0.1,0)</f>
        <v>0</v>
      </c>
      <c r="R105" s="32">
        <f>IF(H105="独立完成",1,IF(J105=1,0.8,IF(J105=2,0.2,IF(J105=3,0.1,IF(J105&gt;3,0.05,0)))))</f>
        <v>0</v>
      </c>
      <c r="S105" s="166">
        <f>IF(Q105&gt;18,18,Q105)</f>
        <v>0</v>
      </c>
      <c r="T105" s="32">
        <f>IF(B105="国家级课题项目",40,0)</f>
        <v>0</v>
      </c>
      <c r="U105" s="32">
        <f>IF(B105="省级课题项目",20,0)</f>
        <v>0</v>
      </c>
      <c r="V105" s="32">
        <f>IF(B105="市级课题项目",10,0)</f>
        <v>0</v>
      </c>
      <c r="W105" s="32">
        <f>IF(B105="校级课题项目",5,0)</f>
        <v>0</v>
      </c>
      <c r="X105" s="32">
        <f>IF(B105="横向课题项目",2,0)</f>
        <v>0</v>
      </c>
      <c r="Y105" s="180">
        <f>IF(AND(OR(B105="国家级课题项目",B105="省级课题项目"),OR(H105="独立完成",J105=1)),1,0)</f>
        <v>0</v>
      </c>
      <c r="Z105" s="181"/>
      <c r="AK105" s="130"/>
      <c r="AL105" s="130"/>
      <c r="AM105" s="130"/>
      <c r="AN105" s="130"/>
      <c r="AO105" s="130"/>
      <c r="AP105" s="130"/>
      <c r="AQ105" s="130"/>
      <c r="AR105" s="130"/>
      <c r="AS105" s="130"/>
      <c r="AT105" s="130"/>
      <c r="AU105" s="130"/>
      <c r="AV105" s="130"/>
      <c r="AW105" s="130"/>
      <c r="AX105" s="130"/>
      <c r="AY105" s="130"/>
      <c r="AZ105" s="130"/>
      <c r="BA105" s="130"/>
      <c r="BB105" s="130"/>
      <c r="BC105" s="130"/>
      <c r="BD105" s="130"/>
      <c r="BE105" s="130"/>
      <c r="BF105" s="130"/>
      <c r="BG105" s="130"/>
      <c r="BH105" s="130"/>
    </row>
    <row r="106" ht="31" customHeight="1" spans="1:60">
      <c r="A106" s="36"/>
      <c r="B106" s="134"/>
      <c r="C106" s="135"/>
      <c r="D106" s="135"/>
      <c r="E106" s="135"/>
      <c r="F106" s="135"/>
      <c r="G106" s="139"/>
      <c r="H106" s="139"/>
      <c r="I106" s="139"/>
      <c r="J106" s="139"/>
      <c r="K106" s="164"/>
      <c r="L106" s="165" t="str">
        <f>IF(B106&lt;&gt;"",R106,"")</f>
        <v/>
      </c>
      <c r="M106" s="165" t="str">
        <f>IF(B106&lt;&gt;"",SUM(S106:X106)*L106,"")</f>
        <v/>
      </c>
      <c r="N106" s="160"/>
      <c r="O106" s="166"/>
      <c r="P106" s="167">
        <f>IF(B106="国家级课题项目",40,IF(B106="省级课题项目",20,IF(B106="横向课题项目",2,IF(B106="市级课题项目",7,IF(B106="校级课题项目",5,0)))))</f>
        <v>0</v>
      </c>
      <c r="Q106" s="166">
        <f>IF(AND(B106="横向课题项目",K106&gt;=1),INT((K106-1)*10)*0.1,0)</f>
        <v>0</v>
      </c>
      <c r="R106" s="32">
        <f>IF(H106="独立完成",1,IF(J106=1,0.8,IF(J106=2,0.2,IF(J106=3,0.1,IF(J106&gt;3,0.05,0)))))</f>
        <v>0</v>
      </c>
      <c r="S106" s="166">
        <f>IF(Q106&gt;18,18,Q106)</f>
        <v>0</v>
      </c>
      <c r="T106" s="32">
        <f>IF(B106="国家级课题项目",40,0)</f>
        <v>0</v>
      </c>
      <c r="U106" s="32">
        <f>IF(B106="省级课题项目",20,0)</f>
        <v>0</v>
      </c>
      <c r="V106" s="32">
        <f>IF(B106="市级课题项目",10,0)</f>
        <v>0</v>
      </c>
      <c r="W106" s="32">
        <f>IF(B106="校级课题项目",5,0)</f>
        <v>0</v>
      </c>
      <c r="X106" s="32">
        <f>IF(B106="横向课题项目",2,0)</f>
        <v>0</v>
      </c>
      <c r="Y106" s="180">
        <f>IF(AND(OR(B106="国家级课题项目",B106="省级课题项目"),OR(H106="独立完成",J106=1)),1,0)</f>
        <v>0</v>
      </c>
      <c r="Z106" s="181"/>
      <c r="AK106" s="130"/>
      <c r="AL106" s="130"/>
      <c r="AM106" s="130"/>
      <c r="AN106" s="130"/>
      <c r="AO106" s="130"/>
      <c r="AP106" s="130"/>
      <c r="AQ106" s="130"/>
      <c r="AR106" s="130"/>
      <c r="AS106" s="130"/>
      <c r="AT106" s="130"/>
      <c r="AU106" s="130"/>
      <c r="AV106" s="130"/>
      <c r="AW106" s="130"/>
      <c r="AX106" s="130"/>
      <c r="AY106" s="130"/>
      <c r="AZ106" s="130"/>
      <c r="BA106" s="130"/>
      <c r="BB106" s="130"/>
      <c r="BC106" s="130"/>
      <c r="BD106" s="130"/>
      <c r="BE106" s="130"/>
      <c r="BF106" s="130"/>
      <c r="BG106" s="130"/>
      <c r="BH106" s="130"/>
    </row>
    <row r="107" ht="31" customHeight="1" spans="1:60">
      <c r="A107" s="36"/>
      <c r="B107" s="134"/>
      <c r="C107" s="135"/>
      <c r="D107" s="135"/>
      <c r="E107" s="135"/>
      <c r="F107" s="135"/>
      <c r="G107" s="139"/>
      <c r="H107" s="139"/>
      <c r="I107" s="139"/>
      <c r="J107" s="139"/>
      <c r="K107" s="164"/>
      <c r="L107" s="165" t="str">
        <f>IF(B107&lt;&gt;"",R107,"")</f>
        <v/>
      </c>
      <c r="M107" s="165" t="str">
        <f>IF(B107&lt;&gt;"",SUM(S107:X107)*L107,"")</f>
        <v/>
      </c>
      <c r="N107" s="160"/>
      <c r="O107" s="166"/>
      <c r="P107" s="167">
        <f>IF(B107="国家级课题项目",40,IF(B107="省级课题项目",20,IF(B107="横向课题项目",2,IF(B107="市级课题项目",7,IF(B107="校级课题项目",5,0)))))</f>
        <v>0</v>
      </c>
      <c r="Q107" s="166">
        <f>IF(AND(B107="横向课题项目",K107&gt;=1),INT((K107-1)*10)*0.1,0)</f>
        <v>0</v>
      </c>
      <c r="R107" s="32">
        <f>IF(H107="独立完成",1,IF(J107=1,0.8,IF(J107=2,0.2,IF(J107=3,0.1,IF(J107&gt;3,0.05,0)))))</f>
        <v>0</v>
      </c>
      <c r="S107" s="166">
        <f>IF(Q107&gt;18,18,Q107)</f>
        <v>0</v>
      </c>
      <c r="T107" s="32">
        <f>IF(B107="国家级课题项目",40,0)</f>
        <v>0</v>
      </c>
      <c r="U107" s="32">
        <f>IF(B107="省级课题项目",20,0)</f>
        <v>0</v>
      </c>
      <c r="V107" s="32">
        <f>IF(B107="市级课题项目",10,0)</f>
        <v>0</v>
      </c>
      <c r="W107" s="32">
        <f>IF(B107="校级课题项目",5,0)</f>
        <v>0</v>
      </c>
      <c r="X107" s="32">
        <f>IF(B107="横向课题项目",2,0)</f>
        <v>0</v>
      </c>
      <c r="Y107" s="180">
        <f>IF(AND(OR(B107="国家级课题项目",B107="省级课题项目"),OR(H107="独立完成",J107=1)),1,0)</f>
        <v>0</v>
      </c>
      <c r="Z107" s="181"/>
      <c r="AK107" s="130"/>
      <c r="AL107" s="130"/>
      <c r="AM107" s="130"/>
      <c r="AN107" s="130"/>
      <c r="AO107" s="130"/>
      <c r="AP107" s="130"/>
      <c r="AQ107" s="130"/>
      <c r="AR107" s="130"/>
      <c r="AS107" s="130"/>
      <c r="AT107" s="130"/>
      <c r="AU107" s="130"/>
      <c r="AV107" s="130"/>
      <c r="AW107" s="130"/>
      <c r="AX107" s="130"/>
      <c r="AY107" s="130"/>
      <c r="AZ107" s="130"/>
      <c r="BA107" s="130"/>
      <c r="BB107" s="130"/>
      <c r="BC107" s="130"/>
      <c r="BD107" s="130"/>
      <c r="BE107" s="130"/>
      <c r="BF107" s="130"/>
      <c r="BG107" s="130"/>
      <c r="BH107" s="130"/>
    </row>
    <row r="108" ht="31" customHeight="1" spans="1:60">
      <c r="A108" s="36"/>
      <c r="B108" s="134"/>
      <c r="C108" s="135"/>
      <c r="D108" s="135"/>
      <c r="E108" s="135"/>
      <c r="F108" s="135"/>
      <c r="G108" s="134"/>
      <c r="H108" s="134"/>
      <c r="I108" s="139"/>
      <c r="J108" s="168"/>
      <c r="K108" s="164"/>
      <c r="L108" s="165" t="str">
        <f>IF(B108&lt;&gt;"",R108,"")</f>
        <v/>
      </c>
      <c r="M108" s="165" t="str">
        <f>IF(B108&lt;&gt;"",SUM(S108:X108)*L108,"")</f>
        <v/>
      </c>
      <c r="N108" s="160"/>
      <c r="O108" s="166"/>
      <c r="P108" s="167">
        <f>IF(B108="国家级课题项目",40,IF(B108="省级课题项目",20,IF(B108="横向课题项目",2,IF(B108="市级课题项目",7,IF(B108="校级课题项目",5,0)))))</f>
        <v>0</v>
      </c>
      <c r="Q108" s="166">
        <f>IF(AND(B108="横向课题项目",K108&gt;=1),INT((K108-1)*10)*0.1,0)</f>
        <v>0</v>
      </c>
      <c r="R108" s="32">
        <f>IF(H108="独立完成",1,IF(J108=1,0.8,IF(J108=2,0.2,IF(J108=3,0.1,IF(J108&gt;3,0.05,0)))))</f>
        <v>0</v>
      </c>
      <c r="S108" s="166">
        <f>IF(Q108&gt;18,18,Q108)</f>
        <v>0</v>
      </c>
      <c r="T108" s="32">
        <f>IF(B108="国家级课题项目",40,0)</f>
        <v>0</v>
      </c>
      <c r="U108" s="32">
        <f>IF(B108="省级课题项目",20,0)</f>
        <v>0</v>
      </c>
      <c r="V108" s="32">
        <f>IF(B108="市级课题项目",10,0)</f>
        <v>0</v>
      </c>
      <c r="W108" s="32">
        <f>IF(B108="校级课题项目",5,0)</f>
        <v>0</v>
      </c>
      <c r="X108" s="32">
        <f>IF(B108="横向课题项目",2,0)</f>
        <v>0</v>
      </c>
      <c r="Y108" s="180">
        <f>IF(AND(OR(B108="国家级课题项目",B108="省级课题项目"),OR(H108="独立完成",J108=1)),1,0)</f>
        <v>0</v>
      </c>
      <c r="Z108" s="181"/>
      <c r="AK108" s="130"/>
      <c r="AL108" s="130"/>
      <c r="AM108" s="130"/>
      <c r="AN108" s="130"/>
      <c r="AO108" s="130"/>
      <c r="AP108" s="130"/>
      <c r="AQ108" s="130"/>
      <c r="AR108" s="130"/>
      <c r="AS108" s="130"/>
      <c r="AT108" s="130"/>
      <c r="AU108" s="130"/>
      <c r="AV108" s="130"/>
      <c r="AW108" s="130"/>
      <c r="AX108" s="130"/>
      <c r="AY108" s="130"/>
      <c r="AZ108" s="130"/>
      <c r="BA108" s="130"/>
      <c r="BB108" s="130"/>
      <c r="BC108" s="130"/>
      <c r="BD108" s="130"/>
      <c r="BE108" s="130"/>
      <c r="BF108" s="130"/>
      <c r="BG108" s="130"/>
      <c r="BH108" s="130"/>
    </row>
    <row r="109" ht="31" customHeight="1" spans="1:60">
      <c r="A109" s="36"/>
      <c r="B109" s="136" t="s">
        <v>55</v>
      </c>
      <c r="C109" s="137"/>
      <c r="D109" s="137"/>
      <c r="E109" s="137"/>
      <c r="F109" s="137"/>
      <c r="G109" s="137"/>
      <c r="H109" s="137"/>
      <c r="I109" s="137"/>
      <c r="J109" s="137"/>
      <c r="K109" s="137"/>
      <c r="L109" s="161"/>
      <c r="M109" s="165">
        <f>IF(M105&lt;&gt;"",SUM(M105:M108),0)</f>
        <v>0</v>
      </c>
      <c r="N109" s="169"/>
      <c r="O109" s="169"/>
      <c r="AK109" s="130"/>
      <c r="AL109" s="130"/>
      <c r="AM109" s="130"/>
      <c r="AN109" s="130"/>
      <c r="AO109" s="130"/>
      <c r="AP109" s="130"/>
      <c r="AQ109" s="130"/>
      <c r="AR109" s="130"/>
      <c r="AS109" s="130"/>
      <c r="AT109" s="130"/>
      <c r="AU109" s="130"/>
      <c r="AV109" s="130"/>
      <c r="AW109" s="130"/>
      <c r="AX109" s="130"/>
      <c r="AY109" s="130"/>
      <c r="AZ109" s="130"/>
      <c r="BA109" s="130"/>
      <c r="BB109" s="130"/>
      <c r="BC109" s="130"/>
      <c r="BD109" s="130"/>
      <c r="BE109" s="130"/>
      <c r="BF109" s="130"/>
      <c r="BG109" s="130"/>
      <c r="BH109" s="130"/>
    </row>
    <row r="110" ht="31" customHeight="1" spans="1:60">
      <c r="A110" s="36"/>
      <c r="B110" s="138" t="s">
        <v>156</v>
      </c>
      <c r="C110" s="138"/>
      <c r="D110" s="138"/>
      <c r="E110" s="138"/>
      <c r="F110" s="138"/>
      <c r="G110" s="138"/>
      <c r="H110" s="138"/>
      <c r="I110" s="138"/>
      <c r="J110" s="138"/>
      <c r="K110" s="138"/>
      <c r="L110" s="138"/>
      <c r="M110" s="138"/>
      <c r="N110" s="138"/>
      <c r="O110" s="138"/>
      <c r="AK110" s="130"/>
      <c r="AL110" s="130"/>
      <c r="AM110" s="130"/>
      <c r="AN110" s="130"/>
      <c r="AO110" s="130"/>
      <c r="AP110" s="130"/>
      <c r="AQ110" s="130"/>
      <c r="AR110" s="130"/>
      <c r="AS110" s="130"/>
      <c r="AT110" s="130"/>
      <c r="AU110" s="130"/>
      <c r="AV110" s="130"/>
      <c r="AW110" s="130"/>
      <c r="AX110" s="130"/>
      <c r="AY110" s="130"/>
      <c r="AZ110" s="130"/>
      <c r="BA110" s="130"/>
      <c r="BB110" s="130"/>
      <c r="BC110" s="130"/>
      <c r="BD110" s="130"/>
      <c r="BE110" s="130"/>
      <c r="BF110" s="130"/>
      <c r="BG110" s="130"/>
      <c r="BH110" s="130"/>
    </row>
    <row r="111" ht="31" customHeight="1" spans="1:60">
      <c r="A111" s="36"/>
      <c r="B111" s="87" t="s">
        <v>98</v>
      </c>
      <c r="C111" s="88" t="s">
        <v>86</v>
      </c>
      <c r="D111" s="151"/>
      <c r="E111" s="89"/>
      <c r="F111" s="88" t="s">
        <v>157</v>
      </c>
      <c r="G111" s="89"/>
      <c r="H111" s="61" t="s">
        <v>88</v>
      </c>
      <c r="I111" s="61" t="s">
        <v>89</v>
      </c>
      <c r="J111" s="61" t="s">
        <v>100</v>
      </c>
      <c r="K111" s="61" t="s">
        <v>101</v>
      </c>
      <c r="L111" s="61" t="s">
        <v>91</v>
      </c>
      <c r="M111" s="61" t="s">
        <v>92</v>
      </c>
      <c r="N111" s="61" t="s">
        <v>38</v>
      </c>
      <c r="O111" s="61" t="s">
        <v>39</v>
      </c>
      <c r="P111" s="163" t="s">
        <v>147</v>
      </c>
      <c r="Q111" s="32" t="s">
        <v>148</v>
      </c>
      <c r="R111" s="32" t="s">
        <v>102</v>
      </c>
      <c r="S111" s="127" t="s">
        <v>149</v>
      </c>
      <c r="T111" s="127" t="s">
        <v>150</v>
      </c>
      <c r="U111" s="127" t="s">
        <v>151</v>
      </c>
      <c r="V111" s="127" t="s">
        <v>152</v>
      </c>
      <c r="W111" s="127" t="s">
        <v>153</v>
      </c>
      <c r="X111" s="127" t="s">
        <v>154</v>
      </c>
      <c r="AK111" s="130"/>
      <c r="AL111" s="130"/>
      <c r="AM111" s="130"/>
      <c r="AN111" s="130"/>
      <c r="AO111" s="130"/>
      <c r="AP111" s="130"/>
      <c r="AQ111" s="130"/>
      <c r="AR111" s="130"/>
      <c r="AS111" s="130"/>
      <c r="AT111" s="130"/>
      <c r="AU111" s="130"/>
      <c r="AV111" s="130"/>
      <c r="AW111" s="130"/>
      <c r="AX111" s="130"/>
      <c r="AY111" s="130"/>
      <c r="AZ111" s="130"/>
      <c r="BA111" s="130"/>
      <c r="BB111" s="130"/>
      <c r="BC111" s="130"/>
      <c r="BD111" s="130"/>
      <c r="BE111" s="130"/>
      <c r="BF111" s="130"/>
      <c r="BG111" s="130"/>
      <c r="BH111" s="130"/>
    </row>
    <row r="112" ht="31" customHeight="1" spans="1:60">
      <c r="A112" s="36"/>
      <c r="B112" s="134"/>
      <c r="C112" s="146"/>
      <c r="D112" s="152"/>
      <c r="E112" s="147"/>
      <c r="F112" s="153"/>
      <c r="G112" s="154"/>
      <c r="H112" s="139"/>
      <c r="I112" s="139"/>
      <c r="J112" s="139"/>
      <c r="K112" s="164"/>
      <c r="L112" s="165" t="str">
        <f>IF(B112&lt;&gt;"",R112,"")</f>
        <v/>
      </c>
      <c r="M112" s="165" t="str">
        <f>IF(B112&lt;&gt;"",SUM(S112:X112)*L112,"")</f>
        <v/>
      </c>
      <c r="N112" s="160"/>
      <c r="O112" s="166"/>
      <c r="P112" s="167" t="str">
        <f>IF(B112="国家级课题项目",40,IF(B112="省级课题项目",20,IF(B112="横向课题项目",2,IF(B112="市级课题项目",7,IF(B112="校级课题项目",5,"")))))</f>
        <v/>
      </c>
      <c r="Q112" s="166">
        <f>IF(AND(B112="横向技术项目",K112&gt;=1),INT((K112-1)*10)*0.1,0)</f>
        <v>0</v>
      </c>
      <c r="R112" s="32">
        <f>IF(H112="独立完成",1,IF(J112=1,0.8,IF(J112=2,0.2,IF(J112=3,0.1,IF(J112&gt;3,0.05,0)))))</f>
        <v>0</v>
      </c>
      <c r="S112" s="166">
        <f>IF(Q112&gt;18,18,Q112)</f>
        <v>0</v>
      </c>
      <c r="T112" s="32">
        <f>IF(B112="国家级课题项目",40,0)</f>
        <v>0</v>
      </c>
      <c r="U112" s="32">
        <f>IF(B112="省级课题项目",20,0)</f>
        <v>0</v>
      </c>
      <c r="V112" s="32">
        <f>IF(B112="市级课题项目",10,0)</f>
        <v>0</v>
      </c>
      <c r="W112" s="32">
        <f>IF(B112="校级课题项目",5,0)</f>
        <v>0</v>
      </c>
      <c r="X112" s="32">
        <f>IF(B112="横向技术项目",2,0)</f>
        <v>0</v>
      </c>
      <c r="AK112" s="130"/>
      <c r="AL112" s="130"/>
      <c r="AM112" s="130"/>
      <c r="AN112" s="130"/>
      <c r="AO112" s="130"/>
      <c r="AP112" s="130"/>
      <c r="AQ112" s="130"/>
      <c r="AR112" s="130"/>
      <c r="AS112" s="130"/>
      <c r="AT112" s="130"/>
      <c r="AU112" s="130"/>
      <c r="AV112" s="130"/>
      <c r="AW112" s="130"/>
      <c r="AX112" s="130"/>
      <c r="AY112" s="130"/>
      <c r="AZ112" s="130"/>
      <c r="BA112" s="130"/>
      <c r="BB112" s="130"/>
      <c r="BC112" s="130"/>
      <c r="BD112" s="130"/>
      <c r="BE112" s="130"/>
      <c r="BF112" s="130"/>
      <c r="BG112" s="130"/>
      <c r="BH112" s="130"/>
    </row>
    <row r="113" ht="31" customHeight="1" spans="1:60">
      <c r="A113" s="36"/>
      <c r="B113" s="134"/>
      <c r="C113" s="146"/>
      <c r="D113" s="152"/>
      <c r="E113" s="147"/>
      <c r="F113" s="153"/>
      <c r="G113" s="154"/>
      <c r="H113" s="139"/>
      <c r="I113" s="139"/>
      <c r="J113" s="139"/>
      <c r="K113" s="164"/>
      <c r="L113" s="165" t="str">
        <f>IF(B113&lt;&gt;"",R113,"")</f>
        <v/>
      </c>
      <c r="M113" s="165" t="str">
        <f>IF(B113&lt;&gt;"",SUM(S113:X113)*L113,"")</f>
        <v/>
      </c>
      <c r="N113" s="160"/>
      <c r="O113" s="166"/>
      <c r="P113" s="167" t="str">
        <f>IF(B113="国家级课题项目",40,IF(B113="省级课题项目",20,IF(B113="横向课题项目",2,IF(B113="市级课题项目",7,IF(B113="校级课题项目",5,"")))))</f>
        <v/>
      </c>
      <c r="Q113" s="166">
        <f>IF(AND(B113="横向技术项目",K113&gt;=1),INT((K113-1)*10)*0.1,0)</f>
        <v>0</v>
      </c>
      <c r="R113" s="32">
        <f>IF(H113="独立完成",1,IF(J113=1,0.8,IF(J113=2,0.2,IF(J113=3,0.1,IF(J113&gt;3,0.05,0)))))</f>
        <v>0</v>
      </c>
      <c r="S113" s="166">
        <f>IF(Q113&gt;18,18,Q113)</f>
        <v>0</v>
      </c>
      <c r="T113" s="32">
        <f>IF(B113="国家级课题项目",40,0)</f>
        <v>0</v>
      </c>
      <c r="U113" s="32">
        <f>IF(B113="省级课题项目",20,0)</f>
        <v>0</v>
      </c>
      <c r="V113" s="32">
        <f>IF(B113="市级课题项目",10,0)</f>
        <v>0</v>
      </c>
      <c r="W113" s="32">
        <f>IF(B113="校级课题项目",5,0)</f>
        <v>0</v>
      </c>
      <c r="X113" s="32">
        <f>IF(B113="横向技术项目",2,0)</f>
        <v>0</v>
      </c>
      <c r="AK113" s="130"/>
      <c r="AL113" s="130"/>
      <c r="AM113" s="130"/>
      <c r="AN113" s="130"/>
      <c r="AO113" s="130"/>
      <c r="AP113" s="130"/>
      <c r="AQ113" s="130"/>
      <c r="AR113" s="130"/>
      <c r="AS113" s="130"/>
      <c r="AT113" s="130"/>
      <c r="AU113" s="130"/>
      <c r="AV113" s="130"/>
      <c r="AW113" s="130"/>
      <c r="AX113" s="130"/>
      <c r="AY113" s="130"/>
      <c r="AZ113" s="130"/>
      <c r="BA113" s="130"/>
      <c r="BB113" s="130"/>
      <c r="BC113" s="130"/>
      <c r="BD113" s="130"/>
      <c r="BE113" s="130"/>
      <c r="BF113" s="130"/>
      <c r="BG113" s="130"/>
      <c r="BH113" s="130"/>
    </row>
    <row r="114" ht="31" customHeight="1" spans="1:60">
      <c r="A114" s="36"/>
      <c r="B114" s="136" t="s">
        <v>55</v>
      </c>
      <c r="C114" s="137"/>
      <c r="D114" s="137"/>
      <c r="E114" s="137"/>
      <c r="F114" s="137"/>
      <c r="G114" s="137"/>
      <c r="H114" s="137"/>
      <c r="I114" s="137"/>
      <c r="J114" s="137"/>
      <c r="K114" s="137"/>
      <c r="L114" s="161"/>
      <c r="M114" s="165">
        <f>IF(M112&lt;&gt;"",SUM(M112:M113),0)</f>
        <v>0</v>
      </c>
      <c r="N114" s="169"/>
      <c r="O114" s="169"/>
      <c r="AK114" s="130"/>
      <c r="AL114" s="130"/>
      <c r="AM114" s="130"/>
      <c r="AN114" s="130"/>
      <c r="AO114" s="130"/>
      <c r="AP114" s="130"/>
      <c r="AQ114" s="130"/>
      <c r="AR114" s="130"/>
      <c r="AS114" s="130"/>
      <c r="AT114" s="130"/>
      <c r="AU114" s="130"/>
      <c r="AV114" s="130"/>
      <c r="AW114" s="130"/>
      <c r="AX114" s="130"/>
      <c r="AY114" s="130"/>
      <c r="AZ114" s="130"/>
      <c r="BA114" s="130"/>
      <c r="BB114" s="130"/>
      <c r="BC114" s="130"/>
      <c r="BD114" s="130"/>
      <c r="BE114" s="130"/>
      <c r="BF114" s="130"/>
      <c r="BG114" s="130"/>
      <c r="BH114" s="130"/>
    </row>
    <row r="115" ht="31" customHeight="1" spans="1:60">
      <c r="A115" s="36"/>
      <c r="B115" s="138" t="s">
        <v>158</v>
      </c>
      <c r="C115" s="138"/>
      <c r="D115" s="138"/>
      <c r="E115" s="138"/>
      <c r="F115" s="138"/>
      <c r="G115" s="138"/>
      <c r="H115" s="138"/>
      <c r="I115" s="138"/>
      <c r="J115" s="138"/>
      <c r="K115" s="138"/>
      <c r="L115" s="138"/>
      <c r="M115" s="138"/>
      <c r="N115" s="138"/>
      <c r="O115" s="138"/>
      <c r="AK115" s="130"/>
      <c r="AL115" s="130"/>
      <c r="AM115" s="130"/>
      <c r="AN115" s="130"/>
      <c r="AO115" s="130"/>
      <c r="AP115" s="130"/>
      <c r="AQ115" s="130"/>
      <c r="AR115" s="130"/>
      <c r="AS115" s="130"/>
      <c r="AT115" s="130"/>
      <c r="AU115" s="130"/>
      <c r="AV115" s="130"/>
      <c r="AW115" s="130"/>
      <c r="AX115" s="130"/>
      <c r="AY115" s="130"/>
      <c r="AZ115" s="130"/>
      <c r="BA115" s="130"/>
      <c r="BB115" s="130"/>
      <c r="BC115" s="130"/>
      <c r="BD115" s="130"/>
      <c r="BE115" s="130"/>
      <c r="BF115" s="130"/>
      <c r="BG115" s="130"/>
      <c r="BH115" s="130"/>
    </row>
    <row r="116" ht="31" customHeight="1" spans="1:60">
      <c r="A116" s="36"/>
      <c r="B116" s="87" t="s">
        <v>159</v>
      </c>
      <c r="C116" s="114" t="s">
        <v>160</v>
      </c>
      <c r="D116" s="116"/>
      <c r="E116" s="112"/>
      <c r="F116" s="114" t="s">
        <v>161</v>
      </c>
      <c r="G116" s="124"/>
      <c r="H116" s="133" t="s">
        <v>162</v>
      </c>
      <c r="I116" s="61" t="s">
        <v>163</v>
      </c>
      <c r="J116" s="172" t="s">
        <v>164</v>
      </c>
      <c r="K116" s="61" t="s">
        <v>165</v>
      </c>
      <c r="L116" s="61" t="s">
        <v>91</v>
      </c>
      <c r="M116" s="61" t="s">
        <v>92</v>
      </c>
      <c r="N116" s="61" t="s">
        <v>38</v>
      </c>
      <c r="O116" s="61" t="s">
        <v>39</v>
      </c>
      <c r="P116" s="32" t="s">
        <v>166</v>
      </c>
      <c r="Q116" s="163" t="s">
        <v>167</v>
      </c>
      <c r="R116" s="32" t="s">
        <v>168</v>
      </c>
      <c r="S116" s="127" t="s">
        <v>169</v>
      </c>
      <c r="T116" s="118" t="s">
        <v>170</v>
      </c>
      <c r="U116" s="127" t="s">
        <v>171</v>
      </c>
      <c r="V116" s="127" t="s">
        <v>172</v>
      </c>
      <c r="W116" s="127" t="s">
        <v>173</v>
      </c>
      <c r="X116" s="127" t="s">
        <v>174</v>
      </c>
      <c r="Y116" s="127" t="s">
        <v>175</v>
      </c>
      <c r="Z116" s="127" t="s">
        <v>176</v>
      </c>
      <c r="AA116" s="127" t="s">
        <v>177</v>
      </c>
      <c r="AB116" s="178" t="s">
        <v>178</v>
      </c>
      <c r="AC116" s="179"/>
      <c r="AD116" s="180" t="s">
        <v>179</v>
      </c>
      <c r="AE116" s="181"/>
      <c r="AF116" s="175"/>
      <c r="AG116" s="176"/>
      <c r="AK116" s="130"/>
      <c r="AL116" s="130"/>
      <c r="AM116" s="130"/>
      <c r="AN116" s="130"/>
      <c r="AO116" s="130"/>
      <c r="AP116" s="130"/>
      <c r="AQ116" s="130"/>
      <c r="AR116" s="130"/>
      <c r="AS116" s="130"/>
      <c r="AT116" s="130"/>
      <c r="AU116" s="130"/>
      <c r="AV116" s="130"/>
      <c r="AW116" s="130"/>
      <c r="AX116" s="130"/>
      <c r="AY116" s="130"/>
      <c r="AZ116" s="130"/>
      <c r="BA116" s="130"/>
      <c r="BB116" s="130"/>
      <c r="BC116" s="130"/>
      <c r="BD116" s="130"/>
      <c r="BE116" s="130"/>
      <c r="BF116" s="130"/>
      <c r="BG116" s="130"/>
      <c r="BH116" s="130"/>
    </row>
    <row r="117" ht="31" customHeight="1" spans="1:60">
      <c r="A117" s="36"/>
      <c r="B117" s="134"/>
      <c r="C117" s="146"/>
      <c r="D117" s="152"/>
      <c r="E117" s="147"/>
      <c r="F117" s="146"/>
      <c r="G117" s="147"/>
      <c r="H117" s="135"/>
      <c r="I117" s="173"/>
      <c r="J117" s="174"/>
      <c r="K117" s="135"/>
      <c r="L117" s="165" t="str">
        <f>IF(B117&lt;&gt;"",P117*R117,"")</f>
        <v/>
      </c>
      <c r="M117" s="165" t="str">
        <f>IF(B117&lt;&gt;"",SUM(S117:AA117)*J117*L117,"")</f>
        <v/>
      </c>
      <c r="N117" s="160"/>
      <c r="O117" s="32"/>
      <c r="P117" s="32">
        <f>IF(OR(K117="独著",K117="第一主编"),1,IF(K117="第二主编",0.8,IF(K117="参编",0.6,0)))</f>
        <v>0</v>
      </c>
      <c r="Q117" s="163">
        <f>IF(B117&lt;&gt;"",(IF(OR(B117="普通教材",B117="普通马克思主义教材"),0.3,IF(OR(B117="省级规划教材",B117="省级马克思主义教材"),0.6,IF(OR(B117="国家级规划教材",B117="国家级马克思主义教材"),0.8,IF(B117="编著、译著",1,IF(OR(B117="学术专著",B117="马克思主义理论学术专著"),1.5,IF(B117="校本教材、实训指导书",0.1))))))),0)</f>
        <v>0</v>
      </c>
      <c r="R117" s="32">
        <f>IF(B117&lt;&gt;"",(IF(H117="否",1,IF(AND(B117="国家级规划教材",H117="是"),0.6,IF(AND(B117="省级规划教材",H117="是"),0.4,0)))),0)</f>
        <v>0</v>
      </c>
      <c r="S117" s="32">
        <f>IF(B117="普通教材",0.3,0)</f>
        <v>0</v>
      </c>
      <c r="T117" s="32">
        <f>IF(B117="省级规划教材",0.6,0)</f>
        <v>0</v>
      </c>
      <c r="U117" s="32">
        <f>IF(B117="国家级规划教材",0.8,0)</f>
        <v>0</v>
      </c>
      <c r="V117" s="32">
        <f>IF(B117="编著、译著",1,0)</f>
        <v>0</v>
      </c>
      <c r="W117" s="32">
        <f>IF(OR(B117="马克思主义理论学术专著",B117="学术专著"),1.5,0)</f>
        <v>0</v>
      </c>
      <c r="X117" s="32">
        <f>IF(B117="校本教材、实训指导书",0.1,0)</f>
        <v>0</v>
      </c>
      <c r="Y117" s="32">
        <f>IF(B117="国家级马克思主义教材",0.8,0)</f>
        <v>0</v>
      </c>
      <c r="Z117" s="32">
        <f>IF(B117="省级马克思主义教材",0.6,0)</f>
        <v>0</v>
      </c>
      <c r="AA117" s="32">
        <f>IF(B117="普通马克思主义教材",0.3,0)</f>
        <v>0</v>
      </c>
      <c r="AB117" s="180">
        <f>IF(AND(OR(B117="马克思主义理论学术专著",B117="国家级马克思主义教材",B117="省级马克思主义教材",B117="普通马克思主义教材"),OR(K117="独著",K117="第一主编",K117="第二主编"),AND(J117&lt;&gt;"",J117&gt;=5)),1,0)</f>
        <v>0</v>
      </c>
      <c r="AC117" s="181"/>
      <c r="AD117" s="180">
        <f>IF(AND(B117="马克思主义理论学术专著",K117="参编",AND(J117&lt;&gt;"",J117&gt;=7)),1,0)</f>
        <v>0</v>
      </c>
      <c r="AE117" s="181"/>
      <c r="AF117" s="128"/>
      <c r="AG117" s="129"/>
      <c r="AK117" s="130"/>
      <c r="AL117" s="130"/>
      <c r="AM117" s="130"/>
      <c r="AN117" s="130"/>
      <c r="AO117" s="130"/>
      <c r="AP117" s="130"/>
      <c r="AQ117" s="130"/>
      <c r="AR117" s="130"/>
      <c r="AS117" s="130"/>
      <c r="AT117" s="130"/>
      <c r="AU117" s="130"/>
      <c r="AV117" s="130"/>
      <c r="AW117" s="130"/>
      <c r="AX117" s="130"/>
      <c r="AY117" s="130"/>
      <c r="AZ117" s="130"/>
      <c r="BA117" s="130"/>
      <c r="BB117" s="130"/>
      <c r="BC117" s="130"/>
      <c r="BD117" s="130"/>
      <c r="BE117" s="130"/>
      <c r="BF117" s="130"/>
      <c r="BG117" s="130"/>
      <c r="BH117" s="130"/>
    </row>
    <row r="118" ht="31" customHeight="1" spans="1:60">
      <c r="A118" s="36"/>
      <c r="B118" s="134"/>
      <c r="C118" s="146"/>
      <c r="D118" s="152"/>
      <c r="E118" s="147"/>
      <c r="F118" s="146"/>
      <c r="G118" s="155"/>
      <c r="H118" s="135"/>
      <c r="I118" s="173"/>
      <c r="J118" s="174"/>
      <c r="K118" s="135"/>
      <c r="L118" s="165" t="str">
        <f>IF(B118&lt;&gt;"",P118*R118,"")</f>
        <v/>
      </c>
      <c r="M118" s="165" t="str">
        <f>IF(B118&lt;&gt;"",SUM(S118:AA118)*J118*L118,"")</f>
        <v/>
      </c>
      <c r="N118" s="160"/>
      <c r="O118" s="32"/>
      <c r="P118" s="32">
        <f>IF(OR(K118="独著",K118="第一主编"),1,IF(K118="第二主编",0.8,IF(K118="参编",0.6,0)))</f>
        <v>0</v>
      </c>
      <c r="Q118" s="163">
        <f>IF(B118&lt;&gt;"",(IF(OR(B118="普通教材",B118="普通马克思主义教材"),0.3,IF(OR(B118="省级规划教材",B118="省级马克思主义教材"),0.6,IF(OR(B118="国家级规划教材",B118="国家级马克思主义教材"),0.8,IF(B118="编著、译著",1,IF(OR(B118="学术专著",B118="马克思主义理论学术专著"),1.5,IF(B118="校本教材、实训指导书",0.1))))))),0)</f>
        <v>0</v>
      </c>
      <c r="R118" s="32">
        <f>IF(B118&lt;&gt;"",(IF(H118="否",1,IF(AND(B118="国家级规划教材",H118="是"),0.6,IF(AND(B118="省级规划教材",H118="是"),0.4,0)))),0)</f>
        <v>0</v>
      </c>
      <c r="S118" s="32">
        <f>IF(B118="普通教材",0.3,0)</f>
        <v>0</v>
      </c>
      <c r="T118" s="32">
        <f>IF(B118="省级规划教材",0.6,0)</f>
        <v>0</v>
      </c>
      <c r="U118" s="32">
        <f>IF(B118="国家级规划教材",0.8,0)</f>
        <v>0</v>
      </c>
      <c r="V118" s="32">
        <f>IF(B118="编著、译著",1,0)</f>
        <v>0</v>
      </c>
      <c r="W118" s="32">
        <f>IF(OR(B118="马克思主义理论学术专著",B118="学术专著"),1.5,0)</f>
        <v>0</v>
      </c>
      <c r="X118" s="32">
        <f>IF(B118="校本教材、实训指导书",0.1,0)</f>
        <v>0</v>
      </c>
      <c r="Y118" s="32">
        <f>IF(B118="国家级马克思主义教材",0.8,0)</f>
        <v>0</v>
      </c>
      <c r="Z118" s="32">
        <f>IF(B118="省级马克思主义教材",0.6,0)</f>
        <v>0</v>
      </c>
      <c r="AA118" s="32">
        <f>IF(B118="普通马克思主义教材",0.3,0)</f>
        <v>0</v>
      </c>
      <c r="AB118" s="180">
        <f>IF(AND(OR(B118="马克思主义理论学术专著",B118="国家级马克思主义教材",B118="省级马克思主义教材",B118="普通马克思主义教材"),OR(K118="独著",K118="第一主编",K118="第二主编"),AND(J118&lt;&gt;"",J118&gt;=5)),1,0)</f>
        <v>0</v>
      </c>
      <c r="AC118" s="181"/>
      <c r="AD118" s="180">
        <f>IF(AND(B118="马克思主义理论学术专著",K118="参编",AND(J118&lt;&gt;"",J118&gt;=7)),1,0)</f>
        <v>0</v>
      </c>
      <c r="AE118" s="181"/>
      <c r="AK118" s="130"/>
      <c r="AL118" s="130"/>
      <c r="AM118" s="130"/>
      <c r="AN118" s="130"/>
      <c r="AO118" s="130"/>
      <c r="AP118" s="130"/>
      <c r="AQ118" s="130"/>
      <c r="AR118" s="130"/>
      <c r="AS118" s="130"/>
      <c r="AT118" s="130"/>
      <c r="AU118" s="130"/>
      <c r="AV118" s="130"/>
      <c r="AW118" s="130"/>
      <c r="AX118" s="130"/>
      <c r="AY118" s="130"/>
      <c r="AZ118" s="130"/>
      <c r="BA118" s="130"/>
      <c r="BB118" s="130"/>
      <c r="BC118" s="130"/>
      <c r="BD118" s="130"/>
      <c r="BE118" s="130"/>
      <c r="BF118" s="130"/>
      <c r="BG118" s="130"/>
      <c r="BH118" s="130"/>
    </row>
    <row r="119" ht="31" customHeight="1" spans="1:60">
      <c r="A119" s="36"/>
      <c r="B119" s="136" t="s">
        <v>55</v>
      </c>
      <c r="C119" s="137"/>
      <c r="D119" s="137"/>
      <c r="E119" s="137"/>
      <c r="F119" s="137"/>
      <c r="G119" s="137"/>
      <c r="H119" s="137"/>
      <c r="I119" s="137"/>
      <c r="J119" s="137"/>
      <c r="K119" s="137"/>
      <c r="L119" s="161"/>
      <c r="M119" s="165">
        <f>IF(M117&lt;&gt;"",SUM(M117:M118),0)</f>
        <v>0</v>
      </c>
      <c r="N119" s="169"/>
      <c r="O119" s="169"/>
      <c r="AK119" s="130"/>
      <c r="AL119" s="130"/>
      <c r="AM119" s="130"/>
      <c r="AN119" s="130"/>
      <c r="AO119" s="130"/>
      <c r="AP119" s="130"/>
      <c r="AQ119" s="130"/>
      <c r="AR119" s="130"/>
      <c r="AS119" s="130"/>
      <c r="AT119" s="130"/>
      <c r="AU119" s="130"/>
      <c r="AV119" s="130"/>
      <c r="AW119" s="130"/>
      <c r="AX119" s="130"/>
      <c r="AY119" s="130"/>
      <c r="AZ119" s="130"/>
      <c r="BA119" s="130"/>
      <c r="BB119" s="130"/>
      <c r="BC119" s="130"/>
      <c r="BD119" s="130"/>
      <c r="BE119" s="130"/>
      <c r="BF119" s="130"/>
      <c r="BG119" s="130"/>
      <c r="BH119" s="130"/>
    </row>
    <row r="120" ht="31" customHeight="1" spans="1:60">
      <c r="A120" s="36"/>
      <c r="B120" s="138" t="s">
        <v>180</v>
      </c>
      <c r="C120" s="138"/>
      <c r="D120" s="138"/>
      <c r="E120" s="138"/>
      <c r="F120" s="138"/>
      <c r="G120" s="138"/>
      <c r="H120" s="138"/>
      <c r="I120" s="138"/>
      <c r="J120" s="138"/>
      <c r="K120" s="138"/>
      <c r="L120" s="138"/>
      <c r="M120" s="138"/>
      <c r="N120" s="138"/>
      <c r="O120" s="138"/>
      <c r="AK120" s="130"/>
      <c r="AL120" s="130"/>
      <c r="AM120" s="130"/>
      <c r="AN120" s="130"/>
      <c r="AO120" s="130"/>
      <c r="AP120" s="130"/>
      <c r="AQ120" s="130"/>
      <c r="AR120" s="130"/>
      <c r="AS120" s="130"/>
      <c r="AT120" s="130"/>
      <c r="AU120" s="130"/>
      <c r="AV120" s="130"/>
      <c r="AW120" s="130"/>
      <c r="AX120" s="130"/>
      <c r="AY120" s="130"/>
      <c r="AZ120" s="130"/>
      <c r="BA120" s="130"/>
      <c r="BB120" s="130"/>
      <c r="BC120" s="130"/>
      <c r="BD120" s="130"/>
      <c r="BE120" s="130"/>
      <c r="BF120" s="130"/>
      <c r="BG120" s="130"/>
      <c r="BH120" s="130"/>
    </row>
    <row r="121" ht="31" customHeight="1" spans="1:60">
      <c r="A121" s="36"/>
      <c r="B121" s="61" t="s">
        <v>109</v>
      </c>
      <c r="C121" s="61" t="s">
        <v>110</v>
      </c>
      <c r="D121" s="61" t="s">
        <v>86</v>
      </c>
      <c r="E121" s="61"/>
      <c r="F121" s="61"/>
      <c r="G121" s="61" t="s">
        <v>111</v>
      </c>
      <c r="H121" s="61"/>
      <c r="I121" s="61" t="s">
        <v>88</v>
      </c>
      <c r="J121" s="61" t="s">
        <v>89</v>
      </c>
      <c r="K121" s="61" t="s">
        <v>100</v>
      </c>
      <c r="L121" s="169" t="s">
        <v>91</v>
      </c>
      <c r="M121" s="61" t="s">
        <v>92</v>
      </c>
      <c r="N121" s="61" t="s">
        <v>38</v>
      </c>
      <c r="O121" s="61" t="s">
        <v>39</v>
      </c>
      <c r="P121" s="127" t="s">
        <v>102</v>
      </c>
      <c r="Q121" s="127" t="s">
        <v>112</v>
      </c>
      <c r="R121" s="127" t="s">
        <v>113</v>
      </c>
      <c r="S121" s="127" t="s">
        <v>114</v>
      </c>
      <c r="T121" s="127" t="s">
        <v>115</v>
      </c>
      <c r="U121" s="127" t="s">
        <v>116</v>
      </c>
      <c r="V121" s="178" t="s">
        <v>117</v>
      </c>
      <c r="W121" s="179"/>
      <c r="X121" s="175" t="s">
        <v>118</v>
      </c>
      <c r="Y121" s="176"/>
      <c r="AK121" s="130"/>
      <c r="AL121" s="130"/>
      <c r="AM121" s="130"/>
      <c r="AN121" s="130"/>
      <c r="AO121" s="130"/>
      <c r="AP121" s="130"/>
      <c r="AQ121" s="130"/>
      <c r="AR121" s="130"/>
      <c r="AS121" s="130"/>
      <c r="AT121" s="130"/>
      <c r="AU121" s="130"/>
      <c r="AV121" s="130"/>
      <c r="AW121" s="130"/>
      <c r="AX121" s="130"/>
      <c r="AY121" s="130"/>
      <c r="AZ121" s="130"/>
      <c r="BA121" s="130"/>
      <c r="BB121" s="130"/>
      <c r="BC121" s="130"/>
      <c r="BD121" s="130"/>
      <c r="BE121" s="130"/>
      <c r="BF121" s="130"/>
      <c r="BG121" s="130"/>
      <c r="BH121" s="130"/>
    </row>
    <row r="122" ht="31" customHeight="1" spans="1:60">
      <c r="A122" s="36"/>
      <c r="B122" s="134"/>
      <c r="C122" s="134"/>
      <c r="D122" s="135"/>
      <c r="E122" s="135"/>
      <c r="F122" s="135"/>
      <c r="G122" s="134"/>
      <c r="H122" s="134"/>
      <c r="I122" s="135"/>
      <c r="J122" s="170"/>
      <c r="K122" s="158"/>
      <c r="L122" s="165" t="str">
        <f>IF(B122&lt;&gt;"",P122,"")</f>
        <v/>
      </c>
      <c r="M122" s="165" t="str">
        <f>IF(B122&lt;&gt;"",SUM(Q122:U122)*L122,"")</f>
        <v/>
      </c>
      <c r="N122" s="32"/>
      <c r="O122" s="32"/>
      <c r="P122" s="32">
        <f>IF(I122="独立完成",1,IF(K122=1,0.6,IF(K122=2,0.4,IF(K122=3,0.2,IF(K122=4,0.1,IF(K122&gt;4,0.05,0))))))</f>
        <v>0</v>
      </c>
      <c r="Q122" s="32">
        <f>IF(AND(OR(B122="市级成果奖",B122="市级教学奖"),C122="一等奖"),12,IF(AND(OR(B122="市级成果奖",B122="市级教学奖"),C122="二等奖"),10,IF(AND(OR(B122="市级成果奖",B122="市级教学奖"),OR(C122="三等奖",C122="无等级")),8,0)))</f>
        <v>0</v>
      </c>
      <c r="R122" s="32">
        <f>IF(AND(OR(B122="校级成果奖",B122="校级教学奖"),C122="一等奖"),6,IF(AND(OR(B122="校级成果奖",B122="校级教学奖"),C122="二等奖"),4,IF(AND(OR(B122="校级成果奖",B122="校级教学奖"),OR(C122="三等奖",C122="无等级")),2,0)))</f>
        <v>0</v>
      </c>
      <c r="S122" s="32">
        <f>IF(AND(OR(B122="国家级成果奖",B122="国家级教学奖"),C122="一等奖"),100,IF(AND(OR(B122="国家级成果奖",B122="国家级教学奖"),C122="二等奖"),80,IF(AND(OR(B122="国家级成果奖",B122="国家级教学奖"),OR(C122="三等奖",C122="无等级")),60,0)))</f>
        <v>0</v>
      </c>
      <c r="T122" s="32">
        <f>IF(AND(OR(B122="国家开放大学成果奖",B122="国家开放大学教学奖"),C122="一等奖"),30,IF(AND(OR(B122="国家开放大学成果奖",B122="国家开放大学教学奖"),C122="二等奖"),24,IF(AND(OR(B122="国家开放大学成果奖",B122="国家开放大学教学奖"),OR(C122="三等奖",C122="无等级")),18,0)))</f>
        <v>0</v>
      </c>
      <c r="U122" s="32">
        <f>IF(AND(OR(B122="省级成果奖",B122="省级教学奖"),C122="一等奖"),30,IF(AND(OR(B122="省级成果奖",B122="省级教学奖"),C122="二等奖"),24,IF(AND(OR(B122="省级成果奖",B122="省级教学奖"),OR(C122="三等奖",C122="无等级")),18,0)))</f>
        <v>0</v>
      </c>
      <c r="V122" s="180">
        <f>IF(AND(OR(B122="省级成果奖",B122="国家级成果奖",B122="国家开放大学成果奖"),OR(C122="一等奖",C122="二等奖",C122="三等奖",C122="无等级"),OR(I122="独立完成",K122=1)),1,0)</f>
        <v>0</v>
      </c>
      <c r="W122" s="181"/>
      <c r="X122" s="128">
        <f>IF(AND(OR(B122="省级成果奖",B122="国家级成果奖",B122="国家开放大学成果奖",B122="省级教学奖",B122="国家级教学奖",B122="国家开放大学教学奖"),AND(K122&lt;&gt;"",K122&lt;&gt;1,K122&lt;4)),1,0)</f>
        <v>0</v>
      </c>
      <c r="Y122" s="129"/>
      <c r="AK122" s="130"/>
      <c r="AL122" s="130"/>
      <c r="AM122" s="130"/>
      <c r="AN122" s="130"/>
      <c r="AO122" s="130"/>
      <c r="AP122" s="130"/>
      <c r="AQ122" s="130"/>
      <c r="AR122" s="130"/>
      <c r="AS122" s="130"/>
      <c r="AT122" s="130"/>
      <c r="AU122" s="130"/>
      <c r="AV122" s="130"/>
      <c r="AW122" s="130"/>
      <c r="AX122" s="130"/>
      <c r="AY122" s="130"/>
      <c r="AZ122" s="130"/>
      <c r="BA122" s="130"/>
      <c r="BB122" s="130"/>
      <c r="BC122" s="130"/>
      <c r="BD122" s="130"/>
      <c r="BE122" s="130"/>
      <c r="BF122" s="130"/>
      <c r="BG122" s="130"/>
      <c r="BH122" s="130"/>
    </row>
    <row r="123" ht="31" customHeight="1" spans="1:60">
      <c r="A123" s="36"/>
      <c r="B123" s="134"/>
      <c r="C123" s="134"/>
      <c r="D123" s="135"/>
      <c r="E123" s="135"/>
      <c r="F123" s="135"/>
      <c r="G123" s="134"/>
      <c r="H123" s="140"/>
      <c r="I123" s="135"/>
      <c r="J123" s="170"/>
      <c r="K123" s="158"/>
      <c r="L123" s="165" t="str">
        <f>IF(B123&lt;&gt;"",P123,"")</f>
        <v/>
      </c>
      <c r="M123" s="165" t="str">
        <f>IF(B123&lt;&gt;"",SUM(Q123:U123)*L123,"")</f>
        <v/>
      </c>
      <c r="N123" s="32"/>
      <c r="O123" s="32"/>
      <c r="P123" s="32">
        <f>IF(I123="独立完成",1,IF(K123=1,0.6,IF(K123=2,0.4,IF(K123=3,0.2,IF(K123=4,0.1,IF(K123&gt;4,0.05,0))))))</f>
        <v>0</v>
      </c>
      <c r="Q123" s="32">
        <f>IF(AND(OR(B123="市级成果奖",B123="市级教学奖"),C123="一等奖"),12,IF(AND(OR(B123="市级成果奖",B123="市级教学奖"),C123="二等奖"),10,IF(AND(OR(B123="市级成果奖",B123="市级教学奖"),OR(C123="三等奖",C123="无等级")),8,0)))</f>
        <v>0</v>
      </c>
      <c r="R123" s="32">
        <f>IF(AND(OR(B123="校级成果奖",B123="校级教学奖"),C123="一等奖"),6,IF(AND(OR(B123="校级成果奖",B123="校级教学奖"),C123="二等奖"),4,IF(AND(OR(B123="校级成果奖",B123="校级教学奖"),OR(C123="三等奖",C123="无等级")),2,0)))</f>
        <v>0</v>
      </c>
      <c r="S123" s="32">
        <f>IF(AND(OR(B123="国家级成果奖",B123="国家级教学奖"),C123="一等奖"),100,IF(AND(OR(B123="国家级成果奖",B123="国家级教学奖"),C123="二等奖"),80,IF(AND(OR(B123="国家级成果奖",B123="国家级教学奖"),OR(C123="三等奖",C123="无等级")),60,0)))</f>
        <v>0</v>
      </c>
      <c r="T123" s="32">
        <f>IF(AND(OR(B123="国家开放大学成果奖",B123="国家开放大学教学奖"),C123="一等奖"),30,IF(AND(OR(B123="国家开放大学成果奖",B123="国家开放大学教学奖"),C123="二等奖"),24,IF(AND(OR(B123="国家开放大学成果奖",B123="国家开放大学教学奖"),OR(C123="三等奖",C123="无等级")),18,0)))</f>
        <v>0</v>
      </c>
      <c r="U123" s="32">
        <f>IF(AND(OR(B123="省级成果奖",B123="省级教学奖"),C123="一等奖"),30,IF(AND(OR(B123="省级成果奖",B123="省级教学奖"),C123="二等奖"),24,IF(AND(OR(B123="省级成果奖",B123="省级教学奖"),OR(C123="三等奖",C123="无等级")),18,0)))</f>
        <v>0</v>
      </c>
      <c r="V123" s="180">
        <f>IF(AND(OR(B123="省级成果奖",B123="国家级成果奖",B123="国家开放大学成果奖"),OR(C123="一等奖",C123="二等奖",C123="三等奖",C123="无等级"),OR(I123="独立完成",K123=1)),1,0)</f>
        <v>0</v>
      </c>
      <c r="W123" s="181"/>
      <c r="X123" s="128">
        <f>IF(AND(OR(B123="省级成果奖",B123="国家级成果奖",B123="国家开放大学成果奖",B123="省级教学奖",B123="国家级教学奖",B123="国家开放大学教学奖"),AND(K123&lt;&gt;"",K123&lt;&gt;1,K123&lt;4)),1,0)</f>
        <v>0</v>
      </c>
      <c r="Y123" s="129"/>
      <c r="AK123" s="130"/>
      <c r="AL123" s="130"/>
      <c r="AM123" s="130"/>
      <c r="AN123" s="130"/>
      <c r="AO123" s="130"/>
      <c r="AP123" s="130"/>
      <c r="AQ123" s="130"/>
      <c r="AR123" s="130"/>
      <c r="AS123" s="130"/>
      <c r="AT123" s="130"/>
      <c r="AU123" s="130"/>
      <c r="AV123" s="130"/>
      <c r="AW123" s="130"/>
      <c r="AX123" s="130"/>
      <c r="AY123" s="130"/>
      <c r="AZ123" s="130"/>
      <c r="BA123" s="130"/>
      <c r="BB123" s="130"/>
      <c r="BC123" s="130"/>
      <c r="BD123" s="130"/>
      <c r="BE123" s="130"/>
      <c r="BF123" s="130"/>
      <c r="BG123" s="130"/>
      <c r="BH123" s="130"/>
    </row>
    <row r="124" ht="31" customHeight="1" spans="1:60">
      <c r="A124" s="36"/>
      <c r="B124" s="136" t="s">
        <v>55</v>
      </c>
      <c r="C124" s="137"/>
      <c r="D124" s="137"/>
      <c r="E124" s="137"/>
      <c r="F124" s="137"/>
      <c r="G124" s="137"/>
      <c r="H124" s="137"/>
      <c r="I124" s="137"/>
      <c r="J124" s="137"/>
      <c r="K124" s="137"/>
      <c r="L124" s="161"/>
      <c r="M124" s="165">
        <f>IF(M122&lt;&gt;"",SUM(M122:M123),0)</f>
        <v>0</v>
      </c>
      <c r="N124" s="169"/>
      <c r="O124" s="169"/>
      <c r="AK124" s="130"/>
      <c r="AL124" s="130"/>
      <c r="AM124" s="130"/>
      <c r="AN124" s="130"/>
      <c r="AO124" s="130"/>
      <c r="AP124" s="130"/>
      <c r="AQ124" s="130"/>
      <c r="AR124" s="130"/>
      <c r="AS124" s="130"/>
      <c r="AT124" s="130"/>
      <c r="AU124" s="130"/>
      <c r="AV124" s="130"/>
      <c r="AW124" s="130"/>
      <c r="AX124" s="130"/>
      <c r="AY124" s="130"/>
      <c r="AZ124" s="130"/>
      <c r="BA124" s="130"/>
      <c r="BB124" s="130"/>
      <c r="BC124" s="130"/>
      <c r="BD124" s="130"/>
      <c r="BE124" s="130"/>
      <c r="BF124" s="130"/>
      <c r="BG124" s="130"/>
      <c r="BH124" s="130"/>
    </row>
    <row r="125" ht="31" customHeight="1" spans="1:60">
      <c r="A125" s="36"/>
      <c r="B125" s="138" t="s">
        <v>181</v>
      </c>
      <c r="C125" s="138"/>
      <c r="D125" s="138"/>
      <c r="E125" s="138"/>
      <c r="F125" s="138"/>
      <c r="G125" s="138"/>
      <c r="H125" s="138"/>
      <c r="I125" s="138"/>
      <c r="J125" s="138"/>
      <c r="K125" s="138"/>
      <c r="L125" s="138"/>
      <c r="M125" s="138"/>
      <c r="N125" s="138"/>
      <c r="O125" s="138"/>
      <c r="AK125" s="130"/>
      <c r="AL125" s="130"/>
      <c r="AM125" s="130"/>
      <c r="AN125" s="130"/>
      <c r="AO125" s="130"/>
      <c r="AP125" s="130"/>
      <c r="AQ125" s="130"/>
      <c r="AR125" s="130"/>
      <c r="AS125" s="130"/>
      <c r="AT125" s="130"/>
      <c r="AU125" s="130"/>
      <c r="AV125" s="130"/>
      <c r="AW125" s="130"/>
      <c r="AX125" s="130"/>
      <c r="AY125" s="130"/>
      <c r="AZ125" s="130"/>
      <c r="BA125" s="130"/>
      <c r="BB125" s="130"/>
      <c r="BC125" s="130"/>
      <c r="BD125" s="130"/>
      <c r="BE125" s="130"/>
      <c r="BF125" s="130"/>
      <c r="BG125" s="130"/>
      <c r="BH125" s="130"/>
    </row>
    <row r="126" ht="31" customHeight="1" spans="1:60">
      <c r="A126" s="36"/>
      <c r="B126" s="61" t="s">
        <v>59</v>
      </c>
      <c r="C126" s="61" t="s">
        <v>182</v>
      </c>
      <c r="D126" s="114" t="s">
        <v>183</v>
      </c>
      <c r="E126" s="116"/>
      <c r="F126" s="112"/>
      <c r="G126" s="61" t="s">
        <v>85</v>
      </c>
      <c r="H126" s="114" t="s">
        <v>184</v>
      </c>
      <c r="I126" s="116"/>
      <c r="J126" s="116"/>
      <c r="K126" s="112"/>
      <c r="L126" s="61" t="s">
        <v>91</v>
      </c>
      <c r="M126" s="61" t="s">
        <v>92</v>
      </c>
      <c r="N126" s="61" t="s">
        <v>38</v>
      </c>
      <c r="O126" s="61" t="s">
        <v>39</v>
      </c>
      <c r="P126" s="127" t="s">
        <v>114</v>
      </c>
      <c r="Q126" s="127" t="s">
        <v>116</v>
      </c>
      <c r="R126" s="127" t="s">
        <v>112</v>
      </c>
      <c r="S126" s="127" t="s">
        <v>113</v>
      </c>
      <c r="T126" s="127" t="s">
        <v>185</v>
      </c>
      <c r="U126" s="185" t="s">
        <v>186</v>
      </c>
      <c r="V126" s="185" t="s">
        <v>187</v>
      </c>
      <c r="W126" s="127"/>
      <c r="X126" s="127"/>
      <c r="Y126" s="127"/>
      <c r="Z126" s="127"/>
      <c r="AA126" s="127"/>
      <c r="AB126" s="127" t="s">
        <v>188</v>
      </c>
      <c r="AC126" s="127" t="s">
        <v>189</v>
      </c>
      <c r="AK126" s="130"/>
      <c r="AL126" s="130"/>
      <c r="AM126" s="130"/>
      <c r="AN126" s="130"/>
      <c r="AO126" s="130"/>
      <c r="AP126" s="130"/>
      <c r="AQ126" s="130"/>
      <c r="AR126" s="130"/>
      <c r="AS126" s="130"/>
      <c r="AT126" s="130"/>
      <c r="AU126" s="130"/>
      <c r="AV126" s="130"/>
      <c r="AW126" s="130"/>
      <c r="AX126" s="130"/>
      <c r="AY126" s="130"/>
      <c r="AZ126" s="130"/>
      <c r="BA126" s="130"/>
      <c r="BB126" s="130"/>
      <c r="BC126" s="130"/>
      <c r="BD126" s="130"/>
      <c r="BE126" s="130"/>
      <c r="BF126" s="130"/>
      <c r="BG126" s="130"/>
      <c r="BH126" s="130"/>
    </row>
    <row r="127" ht="31" customHeight="1" spans="1:60">
      <c r="A127" s="36"/>
      <c r="B127" s="134"/>
      <c r="C127" s="134"/>
      <c r="D127" s="143"/>
      <c r="E127" s="144"/>
      <c r="F127" s="145"/>
      <c r="G127" s="134"/>
      <c r="H127" s="146"/>
      <c r="I127" s="152"/>
      <c r="J127" s="152"/>
      <c r="K127" s="147"/>
      <c r="L127" s="159" t="str">
        <f>IF(B127&lt;&gt;"",1,"")</f>
        <v/>
      </c>
      <c r="M127" s="159" t="str">
        <f>IF(B127&lt;&gt;"",SUM(P127:T127)*L127,"")</f>
        <v/>
      </c>
      <c r="N127" s="160"/>
      <c r="O127" s="160"/>
      <c r="P127" s="32">
        <f>IF(G127="国家级",10,0)</f>
        <v>0</v>
      </c>
      <c r="Q127" s="32">
        <f>IF(G127="省级",6,0)</f>
        <v>0</v>
      </c>
      <c r="R127" s="32">
        <f>IF(G127="市级",3,0)</f>
        <v>0</v>
      </c>
      <c r="S127" s="32">
        <f>IF(G127="校级",1,0)</f>
        <v>0</v>
      </c>
      <c r="T127" s="32">
        <f>IF(G127="其他院校",3,0)</f>
        <v>0</v>
      </c>
      <c r="U127" s="186">
        <f>IF(OR(G127="国家级",G127="省级"),1,0)</f>
        <v>0</v>
      </c>
      <c r="V127" s="186">
        <f>IF(G127="其他院校",1,0)</f>
        <v>0</v>
      </c>
      <c r="W127" s="32"/>
      <c r="X127" s="166"/>
      <c r="Y127" s="166"/>
      <c r="Z127" s="166"/>
      <c r="AA127" s="160"/>
      <c r="AB127" s="160">
        <f>IF(B127="团队建设",IF(H127="独立完成",1,IF(K127=1,0.6,IF(AND(J127=2,K127=2),0.4,IF(AND(J127&gt;2,K127=2),0.3,IF(AND(J127&gt;2,K127=3),0.2,IF(AND(J127&gt;2,K127&gt;3),0.1)))))),0)</f>
        <v>0</v>
      </c>
      <c r="AC127" s="160">
        <f>IF(NOT(B127="团队建设"),IF(H127="独立完成",1,IF(K127=1,0.5,IF(AND(J127=2,K127=2),0.5,IF(AND(J127&gt;2,K127=2),0.3,IF(AND(J127&gt;2,K127=3),0.2,IF(AND(J127&gt;2,K127&gt;3),0.1,0)))))),0)</f>
        <v>0</v>
      </c>
      <c r="AD127" s="160"/>
      <c r="AE127" s="160"/>
      <c r="AK127" s="130"/>
      <c r="AL127" s="130"/>
      <c r="AM127" s="130"/>
      <c r="AN127" s="130"/>
      <c r="AO127" s="130"/>
      <c r="AP127" s="130"/>
      <c r="AQ127" s="130"/>
      <c r="AR127" s="130"/>
      <c r="AS127" s="130"/>
      <c r="AT127" s="130"/>
      <c r="AU127" s="130"/>
      <c r="AV127" s="130"/>
      <c r="AW127" s="130"/>
      <c r="AX127" s="130"/>
      <c r="AY127" s="130"/>
      <c r="AZ127" s="130"/>
      <c r="BA127" s="130"/>
      <c r="BB127" s="130"/>
      <c r="BC127" s="130"/>
      <c r="BD127" s="130"/>
      <c r="BE127" s="130"/>
      <c r="BF127" s="130"/>
      <c r="BG127" s="130"/>
      <c r="BH127" s="130"/>
    </row>
    <row r="128" ht="31" customHeight="1" spans="1:60">
      <c r="A128" s="36"/>
      <c r="B128" s="134"/>
      <c r="C128" s="134"/>
      <c r="D128" s="143"/>
      <c r="E128" s="144"/>
      <c r="F128" s="145"/>
      <c r="G128" s="134"/>
      <c r="H128" s="146"/>
      <c r="I128" s="152"/>
      <c r="J128" s="152"/>
      <c r="K128" s="147"/>
      <c r="L128" s="159" t="str">
        <f>IF(B128&lt;&gt;"",1,"")</f>
        <v/>
      </c>
      <c r="M128" s="159" t="str">
        <f>IF(B128&lt;&gt;"",SUM(P128:T128)*L128,"")</f>
        <v/>
      </c>
      <c r="N128" s="160"/>
      <c r="O128" s="160"/>
      <c r="P128" s="32">
        <f>IF(G128="国家级",10,0)</f>
        <v>0</v>
      </c>
      <c r="Q128" s="32">
        <f>IF(G128="省级",6,0)</f>
        <v>0</v>
      </c>
      <c r="R128" s="32">
        <f>IF(G128="市级",3,0)</f>
        <v>0</v>
      </c>
      <c r="S128" s="32">
        <f>IF(G128="校级",1,0)</f>
        <v>0</v>
      </c>
      <c r="T128" s="32">
        <f>IF(G128="其他院校",3,0)</f>
        <v>0</v>
      </c>
      <c r="U128" s="186">
        <f>IF(OR(G128="国家级",G128="省级"),1,0)</f>
        <v>0</v>
      </c>
      <c r="V128" s="186">
        <f>IF(G128="其他院校",1,0)</f>
        <v>0</v>
      </c>
      <c r="W128" s="32"/>
      <c r="X128" s="166"/>
      <c r="Y128" s="166"/>
      <c r="Z128" s="166"/>
      <c r="AA128" s="160"/>
      <c r="AB128" s="160">
        <f>IF(B128="团队建设",IF(I128="独立完成",1,IF(K128=1,0.6,IF(AND(J128=2,K128=2),0.4,IF(AND(J128&gt;2,K128=2),0.3,IF(AND(J128&gt;2,K128=3),0.2,IF(AND(J128&gt;2,K128&gt;3),0.1)))))),0)</f>
        <v>0</v>
      </c>
      <c r="AC128" s="160">
        <f>IF(NOT(B128="团队建设"),IF(I128="独立完成",1,IF(K128=1,0.5,IF(AND(J128=2,K128=2),0.5,IF(AND(J128&gt;2,K128=2),0.3,IF(AND(J128&gt;2,K128=3),0.2,IF(AND(J128&gt;2,K128&gt;3),0.1,0)))))),0)</f>
        <v>0</v>
      </c>
      <c r="AD128" s="160"/>
      <c r="AE128" s="16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row>
    <row r="129" ht="31" customHeight="1" spans="1:60">
      <c r="A129" s="36"/>
      <c r="B129" s="136"/>
      <c r="C129" s="137"/>
      <c r="D129" s="137"/>
      <c r="E129" s="137"/>
      <c r="F129" s="137"/>
      <c r="G129" s="137"/>
      <c r="H129" s="137"/>
      <c r="I129" s="137"/>
      <c r="J129" s="137"/>
      <c r="K129" s="137"/>
      <c r="L129" s="161"/>
      <c r="M129" s="159">
        <f>IF(M127&lt;&gt;"",SUM(M127:M128),0)</f>
        <v>0</v>
      </c>
      <c r="N129" s="162"/>
      <c r="O129" s="162"/>
      <c r="Q129" s="32"/>
      <c r="AB129" s="160"/>
      <c r="AK129" s="130"/>
      <c r="AL129" s="130"/>
      <c r="AM129" s="130"/>
      <c r="AN129" s="130"/>
      <c r="AO129" s="130"/>
      <c r="AP129" s="130"/>
      <c r="AQ129" s="130"/>
      <c r="AR129" s="130"/>
      <c r="AS129" s="130"/>
      <c r="AT129" s="130"/>
      <c r="AU129" s="130"/>
      <c r="AV129" s="130"/>
      <c r="AW129" s="130"/>
      <c r="AX129" s="130"/>
      <c r="AY129" s="130"/>
      <c r="AZ129" s="130"/>
      <c r="BA129" s="130"/>
      <c r="BB129" s="130"/>
      <c r="BC129" s="130"/>
      <c r="BD129" s="130"/>
      <c r="BE129" s="130"/>
      <c r="BF129" s="130"/>
      <c r="BG129" s="130"/>
      <c r="BH129" s="130"/>
    </row>
    <row r="130" ht="31" customHeight="1" spans="1:60">
      <c r="A130" s="36"/>
      <c r="B130" s="138" t="s">
        <v>190</v>
      </c>
      <c r="C130" s="138"/>
      <c r="D130" s="138"/>
      <c r="E130" s="138"/>
      <c r="F130" s="138"/>
      <c r="G130" s="138"/>
      <c r="H130" s="138"/>
      <c r="I130" s="138"/>
      <c r="J130" s="138"/>
      <c r="K130" s="138"/>
      <c r="L130" s="138"/>
      <c r="M130" s="138"/>
      <c r="N130" s="138"/>
      <c r="O130" s="138"/>
      <c r="AK130" s="130"/>
      <c r="AL130" s="130"/>
      <c r="AM130" s="130"/>
      <c r="AN130" s="130"/>
      <c r="AO130" s="130"/>
      <c r="AP130" s="130"/>
      <c r="AQ130" s="130"/>
      <c r="AR130" s="130"/>
      <c r="AS130" s="130"/>
      <c r="AT130" s="130"/>
      <c r="AU130" s="130"/>
      <c r="AV130" s="130"/>
      <c r="AW130" s="130"/>
      <c r="AX130" s="130"/>
      <c r="AY130" s="130"/>
      <c r="AZ130" s="130"/>
      <c r="BA130" s="130"/>
      <c r="BB130" s="130"/>
      <c r="BC130" s="130"/>
      <c r="BD130" s="130"/>
      <c r="BE130" s="130"/>
      <c r="BF130" s="130"/>
      <c r="BG130" s="130"/>
      <c r="BH130" s="130"/>
    </row>
    <row r="131" ht="31" customHeight="1" spans="1:60">
      <c r="A131" s="36"/>
      <c r="B131" s="61" t="s">
        <v>110</v>
      </c>
      <c r="C131" s="61" t="s">
        <v>120</v>
      </c>
      <c r="D131" s="66" t="s">
        <v>86</v>
      </c>
      <c r="E131" s="116"/>
      <c r="F131" s="112"/>
      <c r="G131" s="61" t="s">
        <v>87</v>
      </c>
      <c r="H131" s="61" t="s">
        <v>121</v>
      </c>
      <c r="I131" s="133" t="s">
        <v>88</v>
      </c>
      <c r="J131" s="61" t="s">
        <v>89</v>
      </c>
      <c r="K131" s="61" t="s">
        <v>100</v>
      </c>
      <c r="L131" s="61" t="s">
        <v>91</v>
      </c>
      <c r="M131" s="61" t="s">
        <v>92</v>
      </c>
      <c r="N131" s="61" t="s">
        <v>38</v>
      </c>
      <c r="O131" s="61" t="s">
        <v>39</v>
      </c>
      <c r="P131" s="127" t="s">
        <v>114</v>
      </c>
      <c r="Q131" s="127" t="s">
        <v>112</v>
      </c>
      <c r="R131" s="127" t="s">
        <v>113</v>
      </c>
      <c r="S131" s="127" t="s">
        <v>191</v>
      </c>
      <c r="T131" s="127" t="s">
        <v>116</v>
      </c>
      <c r="U131" s="127" t="s">
        <v>115</v>
      </c>
      <c r="V131" s="127" t="s">
        <v>102</v>
      </c>
      <c r="W131" s="185" t="s">
        <v>122</v>
      </c>
      <c r="X131" s="32"/>
      <c r="Y131" s="32"/>
      <c r="Z131" s="32"/>
      <c r="AA131" s="32"/>
      <c r="AB131" s="32"/>
      <c r="AC131" s="32"/>
      <c r="AK131" s="130"/>
      <c r="AL131" s="130"/>
      <c r="AM131" s="130"/>
      <c r="AN131" s="130"/>
      <c r="AO131" s="130"/>
      <c r="AP131" s="130"/>
      <c r="AQ131" s="130"/>
      <c r="AR131" s="130"/>
      <c r="AS131" s="130"/>
      <c r="AT131" s="130"/>
      <c r="AU131" s="130"/>
      <c r="AV131" s="130"/>
      <c r="AW131" s="130"/>
      <c r="AX131" s="130"/>
      <c r="AY131" s="130"/>
      <c r="AZ131" s="130"/>
      <c r="BA131" s="130"/>
      <c r="BB131" s="130"/>
      <c r="BC131" s="130"/>
      <c r="BD131" s="130"/>
      <c r="BE131" s="130"/>
      <c r="BF131" s="130"/>
      <c r="BG131" s="130"/>
      <c r="BH131" s="130"/>
    </row>
    <row r="132" ht="31" customHeight="1" spans="1:60">
      <c r="A132" s="36"/>
      <c r="B132" s="134"/>
      <c r="C132" s="134"/>
      <c r="D132" s="188"/>
      <c r="E132" s="144"/>
      <c r="F132" s="145"/>
      <c r="G132" s="150"/>
      <c r="H132" s="150"/>
      <c r="I132" s="135"/>
      <c r="J132" s="158"/>
      <c r="K132" s="158"/>
      <c r="L132" s="159" t="str">
        <f>IF(B132&lt;&gt;"",V132,"")</f>
        <v/>
      </c>
      <c r="M132" s="159" t="str">
        <f>IF(B132&lt;&gt;"",SUM(P132:U132)*L132,"")</f>
        <v/>
      </c>
      <c r="N132" s="160"/>
      <c r="O132" s="160"/>
      <c r="P132" s="32">
        <f>IF(AND(B132="国家级",OR(C132="一等奖",C132="金奖")),25,IF(AND(B132="国家级",OR(C132="二等奖",C132="银奖")),20,IF(AND(B132="国家级",OR(C132="三等奖",C132="铜奖",C132="无等级")),15,0)))</f>
        <v>0</v>
      </c>
      <c r="Q132" s="32">
        <f>IF(AND(B132="市级",OR(C132="一等奖",C132="金奖")),6,IF(AND(B132="市级",OR(C132="二等奖",C132="银奖")),4,IF(AND(B132="市级",OR(C132="三等奖",C132="铜奖",C132="无等级")),2,0)))</f>
        <v>0</v>
      </c>
      <c r="R132" s="32">
        <f>IF(AND(B132="校级",OR(C132="一等奖",C132="金奖")),3,IF(AND(B132="校级",OR(C132="二等奖",C132="银奖")),2,IF(AND(B132="校级",OR(C132="三等奖",C132="铜奖",C132="无等级")),1,0)))</f>
        <v>0</v>
      </c>
      <c r="S132" s="32">
        <f>IF(AND(B132="世界技能大赛",OR(C132="一等奖",C132="金奖")),50,IF(AND(B132="世界技能大赛",OR(C132="二等奖",C132="银奖")),40,IF(AND(B132="世界技能大赛",OR(C132="三等奖",C132="铜奖",C132="无等级")),30,0)))</f>
        <v>0</v>
      </c>
      <c r="T132" s="32">
        <f>IF(AND(B132="省级",OR(C132="一等奖",C132="金奖")),12,IF(AND(B132="省级",OR(C132="二等奖",C132="银奖")),9,IF(AND(B132="省级",OR(C132="三等奖",C132="铜奖",C132="无等级")),6,0)))</f>
        <v>0</v>
      </c>
      <c r="U132" s="182">
        <f>IF(AND(B132="国家开放大学",OR(C132="一等奖",C132="金奖")),12,IF(AND(B132="国家开放大学",OR(C132="二等奖",C132="银奖")),9,IF(AND(B132="国家开放大学",OR(C132="三等奖",C132="铜奖",C132="无等级")),6,0)))</f>
        <v>0</v>
      </c>
      <c r="V132" s="160">
        <f>IF(I132="独立完成",1,IF(K132=1,0.7,IF(K132=2,0.3,IF(K132&gt;2,0.1,0))))</f>
        <v>0</v>
      </c>
      <c r="W132" s="245">
        <f>IF(OR(I132="独立完成",AND(K132&lt;&gt;"",K132&lt;3)),IF(OR(B132="国家级",B132="省级",B132="国家开放大学"),1,0),0)</f>
        <v>0</v>
      </c>
      <c r="X132" s="160"/>
      <c r="Y132" s="160"/>
      <c r="Z132" s="160"/>
      <c r="AA132" s="160"/>
      <c r="AB132" s="160"/>
      <c r="AC132" s="160"/>
      <c r="AD132" s="160"/>
      <c r="AE132" s="160"/>
      <c r="AK132" s="130"/>
      <c r="AL132" s="130"/>
      <c r="AM132" s="130"/>
      <c r="AN132" s="130"/>
      <c r="AO132" s="130"/>
      <c r="AP132" s="130"/>
      <c r="AQ132" s="130"/>
      <c r="AR132" s="130"/>
      <c r="AS132" s="130"/>
      <c r="AT132" s="130"/>
      <c r="AU132" s="130"/>
      <c r="AV132" s="130"/>
      <c r="AW132" s="130"/>
      <c r="AX132" s="130"/>
      <c r="AY132" s="130"/>
      <c r="AZ132" s="130"/>
      <c r="BA132" s="130"/>
      <c r="BB132" s="130"/>
      <c r="BC132" s="130"/>
      <c r="BD132" s="130"/>
      <c r="BE132" s="130"/>
      <c r="BF132" s="130"/>
      <c r="BG132" s="130"/>
      <c r="BH132" s="130"/>
    </row>
    <row r="133" ht="31" customHeight="1" spans="1:60">
      <c r="A133" s="36"/>
      <c r="B133" s="134"/>
      <c r="C133" s="134"/>
      <c r="D133" s="188"/>
      <c r="E133" s="144"/>
      <c r="F133" s="145"/>
      <c r="G133" s="150"/>
      <c r="H133" s="150"/>
      <c r="I133" s="135"/>
      <c r="J133" s="158"/>
      <c r="K133" s="158"/>
      <c r="L133" s="159" t="str">
        <f>IF(B133&lt;&gt;"",V133,"")</f>
        <v/>
      </c>
      <c r="M133" s="159" t="str">
        <f>IF(B133&lt;&gt;"",SUM(P133:U133)*L133,"")</f>
        <v/>
      </c>
      <c r="N133" s="160"/>
      <c r="O133" s="160"/>
      <c r="P133" s="32">
        <f>IF(AND(B133="国家级",OR(C133="一等奖",C133="金奖")),25,IF(AND(B133="国家级",OR(C133="二等奖",C133="银奖")),20,IF(AND(B133="国家级",OR(C133="三等奖",C133="铜奖",C133="无等级")),15,0)))</f>
        <v>0</v>
      </c>
      <c r="Q133" s="32">
        <f>IF(AND(B133="市级",OR(C133="一等奖",C133="金奖")),6,IF(AND(B133="市级",OR(C133="二等奖",C133="银奖")),4,IF(AND(B133="市级",OR(C133="三等奖",C133="铜奖",C133="无等级")),2,0)))</f>
        <v>0</v>
      </c>
      <c r="R133" s="32">
        <f>IF(AND(B133="校级",OR(C133="一等奖",C133="金奖")),3,IF(AND(B133="校级",OR(C133="二等奖",C133="银奖")),2,IF(AND(B133="校级",OR(C133="三等奖",C133="铜奖",C133="无等级")),1,0)))</f>
        <v>0</v>
      </c>
      <c r="S133" s="32">
        <f>IF(AND(B133="世界技能大赛",OR(C133="一等奖",C133="金奖")),50,IF(AND(B133="世界技能大赛",OR(C133="二等奖",C133="银奖")),40,IF(AND(B133="世界技能大赛",OR(C133="三等奖",C133="铜奖",C133="无等级")),30,0)))</f>
        <v>0</v>
      </c>
      <c r="T133" s="32">
        <f>IF(AND(B133="省级",OR(C133="一等奖",C133="金奖")),12,IF(AND(B133="省级",OR(C133="二等奖",C133="银奖")),9,IF(AND(B133="省级",OR(C133="三等奖",C133="铜奖",C133="无等级")),6,0)))</f>
        <v>0</v>
      </c>
      <c r="U133" s="182">
        <f>IF(AND(B133="国家开放大学",OR(C133="一等奖",C133="金奖")),12,IF(AND(B133="国家开放大学",OR(C133="二等奖",C133="银奖")),9,IF(AND(B133="国家开放大学",OR(C133="三等奖",C133="铜奖",C133="无等级")),6,0)))</f>
        <v>0</v>
      </c>
      <c r="V133" s="160">
        <f>IF(I133="独立完成",1,IF(K133=1,0.7,IF(K133=2,0.3,IF(K133&gt;2,0.1,0))))</f>
        <v>0</v>
      </c>
      <c r="W133" s="245">
        <f>IF(OR(I133="独立完成",AND(K133&lt;&gt;"",K133&lt;3)),IF(OR(B133="国家级",B133="省级",B133="国家开放大学"),1,0),0)</f>
        <v>0</v>
      </c>
      <c r="X133" s="160"/>
      <c r="Y133" s="160"/>
      <c r="Z133" s="160"/>
      <c r="AA133" s="160"/>
      <c r="AB133" s="160"/>
      <c r="AC133" s="160"/>
      <c r="AD133" s="160"/>
      <c r="AE133" s="160"/>
      <c r="AK133" s="130"/>
      <c r="AL133" s="130"/>
      <c r="AM133" s="130"/>
      <c r="AN133" s="130"/>
      <c r="AO133" s="130"/>
      <c r="AP133" s="130"/>
      <c r="AQ133" s="130"/>
      <c r="AR133" s="130"/>
      <c r="AS133" s="130"/>
      <c r="AT133" s="130"/>
      <c r="AU133" s="130"/>
      <c r="AV133" s="130"/>
      <c r="AW133" s="130"/>
      <c r="AX133" s="130"/>
      <c r="AY133" s="130"/>
      <c r="AZ133" s="130"/>
      <c r="BA133" s="130"/>
      <c r="BB133" s="130"/>
      <c r="BC133" s="130"/>
      <c r="BD133" s="130"/>
      <c r="BE133" s="130"/>
      <c r="BF133" s="130"/>
      <c r="BG133" s="130"/>
      <c r="BH133" s="130"/>
    </row>
    <row r="134" ht="31" customHeight="1" spans="1:60">
      <c r="A134" s="36"/>
      <c r="B134" s="134"/>
      <c r="C134" s="134"/>
      <c r="D134" s="188"/>
      <c r="E134" s="144"/>
      <c r="F134" s="145"/>
      <c r="G134" s="150"/>
      <c r="H134" s="150"/>
      <c r="I134" s="135"/>
      <c r="J134" s="158"/>
      <c r="K134" s="158"/>
      <c r="L134" s="159" t="str">
        <f>IF(B134&lt;&gt;"",V134,"")</f>
        <v/>
      </c>
      <c r="M134" s="159" t="str">
        <f>IF(B134&lt;&gt;"",SUM(P134:U134)*L134,"")</f>
        <v/>
      </c>
      <c r="N134" s="160"/>
      <c r="O134" s="160"/>
      <c r="P134" s="32">
        <f>IF(AND(B134="国家级",OR(C134="一等奖",C134="金奖")),25,IF(AND(B134="国家级",OR(C134="二等奖",C134="银奖")),20,IF(AND(B134="国家级",OR(C134="三等奖",C134="铜奖",C134="无等级")),15,0)))</f>
        <v>0</v>
      </c>
      <c r="Q134" s="32">
        <f>IF(AND(B134="市级",OR(C134="一等奖",C134="金奖")),6,IF(AND(B134="市级",OR(C134="二等奖",C134="银奖")),4,IF(AND(B134="市级",OR(C134="三等奖",C134="铜奖",C134="无等级")),2,0)))</f>
        <v>0</v>
      </c>
      <c r="R134" s="32">
        <f>IF(AND(B134="校级",OR(C134="一等奖",C134="金奖")),3,IF(AND(B134="校级",OR(C134="二等奖",C134="银奖")),2,IF(AND(B134="校级",OR(C134="三等奖",C134="铜奖",C134="无等级")),1,0)))</f>
        <v>0</v>
      </c>
      <c r="S134" s="32">
        <f>IF(AND(B134="世界技能大赛",OR(C134="一等奖",C134="金奖")),50,IF(AND(B134="世界技能大赛",OR(C134="二等奖",C134="银奖")),40,IF(AND(B134="世界技能大赛",OR(C134="三等奖",C134="铜奖",C134="无等级")),30,0)))</f>
        <v>0</v>
      </c>
      <c r="T134" s="32">
        <f>IF(AND(B134="省级",OR(C134="一等奖",C134="金奖")),12,IF(AND(B134="省级",OR(C134="二等奖",C134="银奖")),9,IF(AND(B134="省级",OR(C134="三等奖",C134="铜奖",C134="无等级")),6,0)))</f>
        <v>0</v>
      </c>
      <c r="U134" s="182">
        <f>IF(AND(B134="国家开放大学",OR(C134="一等奖",C134="金奖")),12,IF(AND(B134="国家开放大学",OR(C134="二等奖",C134="银奖")),9,IF(AND(B134="国家开放大学",OR(C134="三等奖",C134="铜奖",C134="无等级")),6,0)))</f>
        <v>0</v>
      </c>
      <c r="V134" s="160">
        <f>IF(I134="独立完成",1,IF(K134=1,0.7,IF(K134=2,0.3,IF(K134&gt;2,0.1,0))))</f>
        <v>0</v>
      </c>
      <c r="W134" s="245">
        <f>IF(OR(I134="独立完成",AND(K134&lt;&gt;"",K134&lt;3)),IF(OR(B134="国家级",B134="省级",B134="国家开放大学"),1,0),0)</f>
        <v>0</v>
      </c>
      <c r="X134" s="160"/>
      <c r="Y134" s="160"/>
      <c r="Z134" s="160"/>
      <c r="AA134" s="160"/>
      <c r="AB134" s="160"/>
      <c r="AC134" s="160"/>
      <c r="AD134" s="160"/>
      <c r="AE134" s="160"/>
      <c r="AK134" s="130"/>
      <c r="AL134" s="130"/>
      <c r="AM134" s="130"/>
      <c r="AN134" s="130"/>
      <c r="AO134" s="130"/>
      <c r="AP134" s="130"/>
      <c r="AQ134" s="130"/>
      <c r="AR134" s="130"/>
      <c r="AS134" s="130"/>
      <c r="AT134" s="130"/>
      <c r="AU134" s="130"/>
      <c r="AV134" s="130"/>
      <c r="AW134" s="130"/>
      <c r="AX134" s="130"/>
      <c r="AY134" s="130"/>
      <c r="AZ134" s="130"/>
      <c r="BA134" s="130"/>
      <c r="BB134" s="130"/>
      <c r="BC134" s="130"/>
      <c r="BD134" s="130"/>
      <c r="BE134" s="130"/>
      <c r="BF134" s="130"/>
      <c r="BG134" s="130"/>
      <c r="BH134" s="130"/>
    </row>
    <row r="135" ht="31" customHeight="1" spans="1:60">
      <c r="A135" s="36"/>
      <c r="B135" s="136" t="s">
        <v>55</v>
      </c>
      <c r="C135" s="137"/>
      <c r="D135" s="137"/>
      <c r="E135" s="137"/>
      <c r="F135" s="137"/>
      <c r="G135" s="137"/>
      <c r="H135" s="137"/>
      <c r="I135" s="137"/>
      <c r="J135" s="137"/>
      <c r="K135" s="137"/>
      <c r="L135" s="161"/>
      <c r="M135" s="159">
        <f>IF(M132&lt;&gt;"",SUM(M132:M134),0)</f>
        <v>0</v>
      </c>
      <c r="N135" s="162"/>
      <c r="O135" s="162"/>
      <c r="AK135" s="130"/>
      <c r="AL135" s="130"/>
      <c r="AM135" s="130"/>
      <c r="AN135" s="130"/>
      <c r="AO135" s="130"/>
      <c r="AP135" s="130"/>
      <c r="AQ135" s="130"/>
      <c r="AR135" s="130"/>
      <c r="AS135" s="130"/>
      <c r="AT135" s="130"/>
      <c r="AU135" s="130"/>
      <c r="AV135" s="130"/>
      <c r="AW135" s="130"/>
      <c r="AX135" s="130"/>
      <c r="AY135" s="130"/>
      <c r="AZ135" s="130"/>
      <c r="BA135" s="130"/>
      <c r="BB135" s="130"/>
      <c r="BC135" s="130"/>
      <c r="BD135" s="130"/>
      <c r="BE135" s="130"/>
      <c r="BF135" s="130"/>
      <c r="BG135" s="130"/>
      <c r="BH135" s="130"/>
    </row>
    <row r="136" ht="31" customHeight="1" spans="1:60">
      <c r="A136" s="36"/>
      <c r="B136" s="138" t="s">
        <v>192</v>
      </c>
      <c r="C136" s="138"/>
      <c r="D136" s="138"/>
      <c r="E136" s="138"/>
      <c r="F136" s="138"/>
      <c r="G136" s="138"/>
      <c r="H136" s="138"/>
      <c r="I136" s="138"/>
      <c r="J136" s="138"/>
      <c r="K136" s="138"/>
      <c r="L136" s="138"/>
      <c r="M136" s="138"/>
      <c r="N136" s="138"/>
      <c r="O136" s="138"/>
      <c r="AK136" s="130"/>
      <c r="AL136" s="130"/>
      <c r="AM136" s="130"/>
      <c r="AN136" s="130"/>
      <c r="AO136" s="130"/>
      <c r="AP136" s="130"/>
      <c r="AQ136" s="130"/>
      <c r="AR136" s="130"/>
      <c r="AS136" s="130"/>
      <c r="AT136" s="130"/>
      <c r="AU136" s="130"/>
      <c r="AV136" s="130"/>
      <c r="AW136" s="130"/>
      <c r="AX136" s="130"/>
      <c r="AY136" s="130"/>
      <c r="AZ136" s="130"/>
      <c r="BA136" s="130"/>
      <c r="BB136" s="130"/>
      <c r="BC136" s="130"/>
      <c r="BD136" s="130"/>
      <c r="BE136" s="130"/>
      <c r="BF136" s="130"/>
      <c r="BG136" s="130"/>
      <c r="BH136" s="130"/>
    </row>
    <row r="137" ht="31" customHeight="1" spans="1:60">
      <c r="A137" s="36"/>
      <c r="B137" s="61" t="s">
        <v>159</v>
      </c>
      <c r="C137" s="66" t="s">
        <v>85</v>
      </c>
      <c r="D137" s="70"/>
      <c r="E137" s="61" t="s">
        <v>160</v>
      </c>
      <c r="F137" s="133"/>
      <c r="G137" s="114" t="s">
        <v>193</v>
      </c>
      <c r="H137" s="124"/>
      <c r="I137" s="61" t="s">
        <v>88</v>
      </c>
      <c r="J137" s="61" t="s">
        <v>89</v>
      </c>
      <c r="K137" s="61" t="s">
        <v>100</v>
      </c>
      <c r="L137" s="169" t="s">
        <v>91</v>
      </c>
      <c r="M137" s="61" t="s">
        <v>92</v>
      </c>
      <c r="N137" s="61" t="s">
        <v>38</v>
      </c>
      <c r="O137" s="61" t="s">
        <v>39</v>
      </c>
      <c r="P137" s="127" t="s">
        <v>194</v>
      </c>
      <c r="Q137" s="127" t="s">
        <v>195</v>
      </c>
      <c r="R137" s="185" t="s">
        <v>196</v>
      </c>
      <c r="S137" s="127" t="s">
        <v>197</v>
      </c>
      <c r="T137" s="127"/>
      <c r="U137" s="127"/>
      <c r="V137" s="32"/>
      <c r="AK137" s="130"/>
      <c r="AL137" s="130"/>
      <c r="AM137" s="130"/>
      <c r="AN137" s="130"/>
      <c r="AO137" s="130"/>
      <c r="AP137" s="130"/>
      <c r="AQ137" s="130"/>
      <c r="AR137" s="130"/>
      <c r="AS137" s="130"/>
      <c r="AT137" s="130"/>
      <c r="AU137" s="130"/>
      <c r="AV137" s="130"/>
      <c r="AW137" s="130"/>
      <c r="AX137" s="130"/>
      <c r="AY137" s="130"/>
      <c r="AZ137" s="130"/>
      <c r="BA137" s="130"/>
      <c r="BB137" s="130"/>
      <c r="BC137" s="130"/>
      <c r="BD137" s="130"/>
      <c r="BE137" s="130"/>
      <c r="BF137" s="130"/>
      <c r="BG137" s="130"/>
      <c r="BH137" s="130"/>
    </row>
    <row r="138" ht="31" customHeight="1" spans="1:60">
      <c r="A138" s="36"/>
      <c r="B138" s="134"/>
      <c r="C138" s="143"/>
      <c r="D138" s="145"/>
      <c r="E138" s="146"/>
      <c r="F138" s="147"/>
      <c r="G138" s="143"/>
      <c r="H138" s="145"/>
      <c r="I138" s="139"/>
      <c r="J138" s="219"/>
      <c r="K138" s="219"/>
      <c r="L138" s="165" t="str">
        <f>IF(B138&lt;&gt;"",P138+S138,"")</f>
        <v/>
      </c>
      <c r="M138" s="165" t="str">
        <f>IF(B138&lt;&gt;"",Q138*L138,"")</f>
        <v/>
      </c>
      <c r="N138" s="32"/>
      <c r="O138" s="32"/>
      <c r="P138" s="32">
        <f>IF(B138="项目设计",IF(I138="独立完成",1,IF(K138=1,0.6,IF(AND(J138=2,K138=2),0.4,IF(AND(J138&gt;2,K138=2),0.3,IF(AND(J138&gt;2,K138=3),0.2,IF(AND(J138&gt;2,K138&gt;3),0.1,0)))))),0)</f>
        <v>0</v>
      </c>
      <c r="Q138" s="32">
        <f>IF(C138="国家级",30,IF(C138="省级",12,IF(C138="市级",6,IF(C138="校级",2,0))))</f>
        <v>0</v>
      </c>
      <c r="R138" s="186">
        <f>IF(OR(I138="独立完成",K138=1),1,0)</f>
        <v>0</v>
      </c>
      <c r="S138" s="32">
        <f>IF(OR(B138="分析报告",B138="研究报告"),IF(I138="独立完成",1,IF(K138=1,0.8,IF(K138=2,0.2,IF(K138&gt;=3,0.1,0)))),0)</f>
        <v>0</v>
      </c>
      <c r="T138" s="32"/>
      <c r="U138" s="32"/>
      <c r="V138" s="32"/>
      <c r="AK138" s="130"/>
      <c r="AL138" s="130"/>
      <c r="AM138" s="130"/>
      <c r="AN138" s="130"/>
      <c r="AO138" s="130"/>
      <c r="AP138" s="130"/>
      <c r="AQ138" s="130"/>
      <c r="AR138" s="130"/>
      <c r="AS138" s="130"/>
      <c r="AT138" s="130"/>
      <c r="AU138" s="130"/>
      <c r="AV138" s="130"/>
      <c r="AW138" s="130"/>
      <c r="AX138" s="130"/>
      <c r="AY138" s="130"/>
      <c r="AZ138" s="130"/>
      <c r="BA138" s="130"/>
      <c r="BB138" s="130"/>
      <c r="BC138" s="130"/>
      <c r="BD138" s="130"/>
      <c r="BE138" s="130"/>
      <c r="BF138" s="130"/>
      <c r="BG138" s="130"/>
      <c r="BH138" s="130"/>
    </row>
    <row r="139" ht="31" customHeight="1" spans="1:60">
      <c r="A139" s="36"/>
      <c r="B139" s="134"/>
      <c r="C139" s="143"/>
      <c r="D139" s="145"/>
      <c r="E139" s="146"/>
      <c r="F139" s="147"/>
      <c r="G139" s="143"/>
      <c r="H139" s="145"/>
      <c r="I139" s="139"/>
      <c r="J139" s="219"/>
      <c r="K139" s="219"/>
      <c r="L139" s="165" t="str">
        <f>IF(B139&lt;&gt;"",P139+S139,"")</f>
        <v/>
      </c>
      <c r="M139" s="165" t="str">
        <f>IF(B139&lt;&gt;"",Q139*L139,"")</f>
        <v/>
      </c>
      <c r="N139" s="32"/>
      <c r="O139" s="32"/>
      <c r="P139" s="32">
        <f>IF(B139="项目设计",IF(I139="独立完成",1,IF(K139=1,0.6,IF(AND(J139=2,K139=2),0.4,IF(AND(J139&gt;2,K139=2),0.3,IF(AND(J139&gt;2,K139=3),0.2,IF(AND(J139&gt;2,K139&gt;3),0.1,0)))))),0)</f>
        <v>0</v>
      </c>
      <c r="Q139" s="32">
        <f>IF(C139="国家级",30,IF(C139="省级",12,IF(C139="市级",6,IF(C139="校级",2,0))))</f>
        <v>0</v>
      </c>
      <c r="R139" s="186">
        <f>IF(OR(I139="独立完成",K139=1),1,0)</f>
        <v>0</v>
      </c>
      <c r="S139" s="32">
        <f>IF(OR(B139="分析报告",B139="研究报告"),IF(I139="独立完成",1,IF(K139=1,0.8,IF(K139=2,0.2,IF(K139&gt;=3,0.1,0)))),0)</f>
        <v>0</v>
      </c>
      <c r="T139" s="32"/>
      <c r="U139" s="32"/>
      <c r="V139" s="32"/>
      <c r="AK139" s="130"/>
      <c r="AL139" s="130"/>
      <c r="AM139" s="130"/>
      <c r="AN139" s="130"/>
      <c r="AO139" s="130"/>
      <c r="AP139" s="130"/>
      <c r="AQ139" s="130"/>
      <c r="AR139" s="130"/>
      <c r="AS139" s="130"/>
      <c r="AT139" s="130"/>
      <c r="AU139" s="130"/>
      <c r="AV139" s="130"/>
      <c r="AW139" s="130"/>
      <c r="AX139" s="130"/>
      <c r="AY139" s="130"/>
      <c r="AZ139" s="130"/>
      <c r="BA139" s="130"/>
      <c r="BB139" s="130"/>
      <c r="BC139" s="130"/>
      <c r="BD139" s="130"/>
      <c r="BE139" s="130"/>
      <c r="BF139" s="130"/>
      <c r="BG139" s="130"/>
      <c r="BH139" s="130"/>
    </row>
    <row r="140" ht="31" customHeight="1" spans="1:60">
      <c r="A140" s="36"/>
      <c r="B140" s="136" t="s">
        <v>55</v>
      </c>
      <c r="C140" s="137"/>
      <c r="D140" s="137"/>
      <c r="E140" s="137"/>
      <c r="F140" s="137"/>
      <c r="G140" s="137"/>
      <c r="H140" s="137"/>
      <c r="I140" s="137"/>
      <c r="J140" s="137"/>
      <c r="K140" s="137"/>
      <c r="L140" s="161"/>
      <c r="M140" s="165">
        <f>IF(M138&lt;&gt;"",SUM(M138:M139),0)</f>
        <v>0</v>
      </c>
      <c r="N140" s="169"/>
      <c r="O140" s="169"/>
      <c r="AK140" s="130"/>
      <c r="AL140" s="130"/>
      <c r="AM140" s="130"/>
      <c r="AN140" s="130"/>
      <c r="AO140" s="130"/>
      <c r="AP140" s="130"/>
      <c r="AQ140" s="130"/>
      <c r="AR140" s="130"/>
      <c r="AS140" s="130"/>
      <c r="AT140" s="130"/>
      <c r="AU140" s="130"/>
      <c r="AV140" s="130"/>
      <c r="AW140" s="130"/>
      <c r="AX140" s="130"/>
      <c r="AY140" s="130"/>
      <c r="AZ140" s="130"/>
      <c r="BA140" s="130"/>
      <c r="BB140" s="130"/>
      <c r="BC140" s="130"/>
      <c r="BD140" s="130"/>
      <c r="BE140" s="130"/>
      <c r="BF140" s="130"/>
      <c r="BG140" s="130"/>
      <c r="BH140" s="130"/>
    </row>
    <row r="141" ht="31" customHeight="1" spans="1:60">
      <c r="A141" s="36"/>
      <c r="B141" s="138" t="s">
        <v>198</v>
      </c>
      <c r="C141" s="138"/>
      <c r="D141" s="138"/>
      <c r="E141" s="138"/>
      <c r="F141" s="138"/>
      <c r="G141" s="138"/>
      <c r="H141" s="138"/>
      <c r="I141" s="138"/>
      <c r="J141" s="138"/>
      <c r="K141" s="138"/>
      <c r="L141" s="138"/>
      <c r="M141" s="138"/>
      <c r="N141" s="138"/>
      <c r="O141" s="138"/>
      <c r="AK141" s="130"/>
      <c r="AL141" s="130"/>
      <c r="AM141" s="130"/>
      <c r="AN141" s="130"/>
      <c r="AO141" s="130"/>
      <c r="AP141" s="130"/>
      <c r="AQ141" s="130"/>
      <c r="AR141" s="130"/>
      <c r="AS141" s="130"/>
      <c r="AT141" s="130"/>
      <c r="AU141" s="130"/>
      <c r="AV141" s="130"/>
      <c r="AW141" s="130"/>
      <c r="AX141" s="130"/>
      <c r="AY141" s="130"/>
      <c r="AZ141" s="130"/>
      <c r="BA141" s="130"/>
      <c r="BB141" s="130"/>
      <c r="BC141" s="130"/>
      <c r="BD141" s="130"/>
      <c r="BE141" s="130"/>
      <c r="BF141" s="130"/>
      <c r="BG141" s="130"/>
      <c r="BH141" s="130"/>
    </row>
    <row r="142" ht="31" customHeight="1" spans="1:60">
      <c r="A142" s="36"/>
      <c r="B142" s="141" t="s">
        <v>110</v>
      </c>
      <c r="C142" s="142" t="s">
        <v>120</v>
      </c>
      <c r="D142" s="141" t="s">
        <v>86</v>
      </c>
      <c r="E142" s="141"/>
      <c r="F142" s="141"/>
      <c r="G142" s="61" t="s">
        <v>87</v>
      </c>
      <c r="H142" s="61"/>
      <c r="I142" s="61" t="s">
        <v>121</v>
      </c>
      <c r="J142" s="141" t="s">
        <v>88</v>
      </c>
      <c r="K142" s="141" t="s">
        <v>89</v>
      </c>
      <c r="L142" s="169" t="s">
        <v>91</v>
      </c>
      <c r="M142" s="141" t="s">
        <v>92</v>
      </c>
      <c r="N142" s="61" t="s">
        <v>38</v>
      </c>
      <c r="O142" s="61" t="s">
        <v>39</v>
      </c>
      <c r="P142" s="127" t="s">
        <v>114</v>
      </c>
      <c r="Q142" s="127" t="s">
        <v>112</v>
      </c>
      <c r="R142" s="127" t="s">
        <v>113</v>
      </c>
      <c r="S142" s="127" t="s">
        <v>115</v>
      </c>
      <c r="T142" s="127" t="s">
        <v>116</v>
      </c>
      <c r="U142" s="32" t="s">
        <v>102</v>
      </c>
      <c r="V142" s="186" t="s">
        <v>199</v>
      </c>
      <c r="W142" s="32"/>
      <c r="X142" s="32"/>
      <c r="Y142" s="32"/>
      <c r="Z142" s="32"/>
      <c r="AA142" s="32"/>
      <c r="AB142" s="32"/>
      <c r="AC142" s="32"/>
      <c r="AK142" s="130"/>
      <c r="AL142" s="130"/>
      <c r="AM142" s="130"/>
      <c r="AN142" s="130"/>
      <c r="AO142" s="130"/>
      <c r="AP142" s="130"/>
      <c r="AQ142" s="130"/>
      <c r="AR142" s="130"/>
      <c r="AS142" s="130"/>
      <c r="AT142" s="130"/>
      <c r="AU142" s="130"/>
      <c r="AV142" s="130"/>
      <c r="AW142" s="130"/>
      <c r="AX142" s="130"/>
      <c r="AY142" s="130"/>
      <c r="AZ142" s="130"/>
      <c r="BA142" s="130"/>
      <c r="BB142" s="130"/>
      <c r="BC142" s="130"/>
      <c r="BD142" s="130"/>
      <c r="BE142" s="130"/>
      <c r="BF142" s="130"/>
      <c r="BG142" s="130"/>
      <c r="BH142" s="130"/>
    </row>
    <row r="143" ht="31" customHeight="1" spans="1:60">
      <c r="A143" s="36"/>
      <c r="B143" s="134"/>
      <c r="C143" s="134"/>
      <c r="D143" s="143"/>
      <c r="E143" s="144"/>
      <c r="F143" s="145"/>
      <c r="G143" s="146"/>
      <c r="H143" s="147"/>
      <c r="I143" s="150"/>
      <c r="J143" s="135"/>
      <c r="K143" s="158"/>
      <c r="L143" s="165" t="str">
        <f>IF(B143&lt;&gt;"",U143,"")</f>
        <v/>
      </c>
      <c r="M143" s="165" t="str">
        <f>IF(B143&lt;&gt;"",SUM(P143:T143)*L143,"")</f>
        <v/>
      </c>
      <c r="N143" s="160"/>
      <c r="O143" s="160"/>
      <c r="P143" s="32">
        <f>IF(AND(B143="国家级",OR(C143="一等奖",C143="金奖")),30,IF(AND(B143="国家级",OR(C143="二等奖",C143="银奖")),24,IF(AND(B143="国家级",OR(C143="三等奖",C143="铜奖",C143="无等级")),18,0)))</f>
        <v>0</v>
      </c>
      <c r="Q143" s="32">
        <f>IF(AND(B143="市级",OR(C143="一等奖",C143="金奖")),9,IF(AND(B143="市级",OR(C143="二等奖",C143="银奖")),7,IF(AND(B143="市级",OR(C143="三等奖",C143="铜奖",C143="无等级")),5,0)))</f>
        <v>0</v>
      </c>
      <c r="R143" s="32">
        <f>IF(AND(B143="校级",OR(C143="一等奖",C143="金奖")),5,IF(AND(B143="校级",OR(C143="二等奖",C143="银奖")),3,IF(AND(B143="校级",OR(C143="三等奖",C143="铜奖",C143="无等级")),2,0)))</f>
        <v>0</v>
      </c>
      <c r="S143" s="182">
        <f>IF(AND(B143="国家开放大学",OR(C143="一等奖",C143="金奖")),15,IF(AND(B143="国家开放大学",OR(C143="二等奖",C143="银奖")),12,IF(AND(B143="国家开放大学",OR(C143="三等奖",C143="铜奖",C143="无等级")),9,0)))</f>
        <v>0</v>
      </c>
      <c r="T143" s="182">
        <f>IF(AND(B143="省级",OR(C143="一等奖",C143="金奖")),15,IF(AND(B143="省级",OR(C143="二等奖",C143="银奖")),12,IF(AND(B143="省级",OR(C143="三等奖",C143="铜奖",C143="无等级")),9,0)))</f>
        <v>0</v>
      </c>
      <c r="U143" s="160">
        <v>1</v>
      </c>
      <c r="V143" s="245">
        <f>IF(OR(B143="国家级",AND(B143="省级",OR(C143="一等奖",B143="金奖"))),1,0)</f>
        <v>0</v>
      </c>
      <c r="W143" s="160"/>
      <c r="X143" s="160"/>
      <c r="Y143" s="160"/>
      <c r="Z143" s="160"/>
      <c r="AA143" s="160"/>
      <c r="AB143" s="160"/>
      <c r="AC143" s="160"/>
      <c r="AD143" s="160"/>
      <c r="AE143" s="160"/>
      <c r="AK143" s="130"/>
      <c r="AL143" s="130"/>
      <c r="AM143" s="130"/>
      <c r="AN143" s="130"/>
      <c r="AO143" s="130"/>
      <c r="AP143" s="130"/>
      <c r="AQ143" s="130"/>
      <c r="AR143" s="130"/>
      <c r="AS143" s="130"/>
      <c r="AT143" s="130"/>
      <c r="AU143" s="130"/>
      <c r="AV143" s="130"/>
      <c r="AW143" s="130"/>
      <c r="AX143" s="130"/>
      <c r="AY143" s="130"/>
      <c r="AZ143" s="130"/>
      <c r="BA143" s="130"/>
      <c r="BB143" s="130"/>
      <c r="BC143" s="130"/>
      <c r="BD143" s="130"/>
      <c r="BE143" s="130"/>
      <c r="BF143" s="130"/>
      <c r="BG143" s="130"/>
      <c r="BH143" s="130"/>
    </row>
    <row r="144" ht="31" customHeight="1" spans="1:60">
      <c r="A144" s="36"/>
      <c r="B144" s="134"/>
      <c r="C144" s="134"/>
      <c r="D144" s="143"/>
      <c r="E144" s="144"/>
      <c r="F144" s="145"/>
      <c r="G144" s="146"/>
      <c r="H144" s="147"/>
      <c r="I144" s="150"/>
      <c r="J144" s="135"/>
      <c r="K144" s="158"/>
      <c r="L144" s="165" t="str">
        <f>IF(B144&lt;&gt;"",U144,"")</f>
        <v/>
      </c>
      <c r="M144" s="165" t="str">
        <f>IF(B144&lt;&gt;"",SUM(P144:T144)*L144,"")</f>
        <v/>
      </c>
      <c r="N144" s="160"/>
      <c r="O144" s="160"/>
      <c r="P144" s="32">
        <f>IF(AND(B144="国家级",OR(C144="一等奖",C144="金奖")),30,IF(AND(B144="国家级",OR(C144="二等奖",C144="银奖")),24,IF(AND(B144="国家级",OR(C144="三等奖",C144="铜奖",C144="无等级")),18,0)))</f>
        <v>0</v>
      </c>
      <c r="Q144" s="32">
        <f>IF(AND(B144="市级",OR(C144="一等奖",C144="金奖")),9,IF(AND(B144="市级",OR(C144="二等奖",C144="银奖")),7,IF(AND(B144="市级",OR(C144="三等奖",C144="铜奖",C144="无等级")),5,0)))</f>
        <v>0</v>
      </c>
      <c r="R144" s="32">
        <f>IF(AND(B144="校级",OR(C144="一等奖",C144="金奖")),5,IF(AND(B144="校级",OR(C144="二等奖",C144="银奖")),3,IF(AND(B144="校级",OR(C144="三等奖",C144="铜奖",C144="无等级")),2,0)))</f>
        <v>0</v>
      </c>
      <c r="S144" s="182">
        <f>IF(AND(B144="国家开放大学",OR(C144="一等奖",C144="金奖")),15,IF(AND(B144="国家开放大学",OR(C144="二等奖",C144="银奖")),12,IF(AND(B144="国家开放大学",OR(C144="三等奖",C144="铜奖",C144="无等级")),9,0)))</f>
        <v>0</v>
      </c>
      <c r="T144" s="182">
        <f>IF(AND(B144="省级",OR(C144="一等奖",C144="金奖")),15,IF(AND(B144="省级",OR(C144="二等奖",C144="银奖")),12,IF(AND(B144="省级",OR(C144="三等奖",C144="铜奖",C144="无等级")),9,0)))</f>
        <v>0</v>
      </c>
      <c r="U144" s="160">
        <v>1</v>
      </c>
      <c r="V144" s="245">
        <f>IF(OR(B144="国家级",AND(B144="省级",OR(C144="一等奖",C144="金奖"))),1,0)</f>
        <v>0</v>
      </c>
      <c r="W144" s="160"/>
      <c r="X144" s="160"/>
      <c r="Y144" s="160"/>
      <c r="Z144" s="160"/>
      <c r="AA144" s="160"/>
      <c r="AB144" s="160"/>
      <c r="AC144" s="160"/>
      <c r="AD144" s="160"/>
      <c r="AE144" s="160"/>
      <c r="AK144" s="130"/>
      <c r="AL144" s="130"/>
      <c r="AM144" s="130"/>
      <c r="AN144" s="130"/>
      <c r="AO144" s="130"/>
      <c r="AP144" s="130"/>
      <c r="AQ144" s="130"/>
      <c r="AR144" s="130"/>
      <c r="AS144" s="130"/>
      <c r="AT144" s="130"/>
      <c r="AU144" s="130"/>
      <c r="AV144" s="130"/>
      <c r="AW144" s="130"/>
      <c r="AX144" s="130"/>
      <c r="AY144" s="130"/>
      <c r="AZ144" s="130"/>
      <c r="BA144" s="130"/>
      <c r="BB144" s="130"/>
      <c r="BC144" s="130"/>
      <c r="BD144" s="130"/>
      <c r="BE144" s="130"/>
      <c r="BF144" s="130"/>
      <c r="BG144" s="130"/>
      <c r="BH144" s="130"/>
    </row>
    <row r="145" ht="31" customHeight="1" spans="1:60">
      <c r="A145" s="36"/>
      <c r="B145" s="136" t="s">
        <v>55</v>
      </c>
      <c r="C145" s="137"/>
      <c r="D145" s="137"/>
      <c r="E145" s="137"/>
      <c r="F145" s="137"/>
      <c r="G145" s="137"/>
      <c r="H145" s="137"/>
      <c r="I145" s="137"/>
      <c r="J145" s="137"/>
      <c r="K145" s="137"/>
      <c r="L145" s="161"/>
      <c r="M145" s="165">
        <f>IF(M143&lt;&gt;"",SUM(M143:M144),0)</f>
        <v>0</v>
      </c>
      <c r="N145" s="162"/>
      <c r="O145" s="162"/>
      <c r="AK145" s="130"/>
      <c r="AL145" s="130"/>
      <c r="AM145" s="130"/>
      <c r="AN145" s="130"/>
      <c r="AO145" s="130"/>
      <c r="AP145" s="130"/>
      <c r="AQ145" s="130"/>
      <c r="AR145" s="130"/>
      <c r="AS145" s="130"/>
      <c r="AT145" s="130"/>
      <c r="AU145" s="130"/>
      <c r="AV145" s="130"/>
      <c r="AW145" s="130"/>
      <c r="AX145" s="130"/>
      <c r="AY145" s="130"/>
      <c r="AZ145" s="130"/>
      <c r="BA145" s="130"/>
      <c r="BB145" s="130"/>
      <c r="BC145" s="130"/>
      <c r="BD145" s="130"/>
      <c r="BE145" s="130"/>
      <c r="BF145" s="130"/>
      <c r="BG145" s="130"/>
      <c r="BH145" s="130"/>
    </row>
    <row r="146" ht="31" customHeight="1" spans="1:60">
      <c r="A146" s="36"/>
      <c r="B146" s="138" t="s">
        <v>200</v>
      </c>
      <c r="C146" s="138"/>
      <c r="D146" s="138"/>
      <c r="E146" s="138"/>
      <c r="F146" s="138"/>
      <c r="G146" s="138"/>
      <c r="H146" s="138"/>
      <c r="I146" s="138"/>
      <c r="J146" s="138"/>
      <c r="K146" s="138"/>
      <c r="L146" s="138"/>
      <c r="M146" s="138"/>
      <c r="N146" s="138"/>
      <c r="O146" s="138"/>
      <c r="AK146" s="130"/>
      <c r="AL146" s="130"/>
      <c r="AM146" s="130"/>
      <c r="AN146" s="130"/>
      <c r="AO146" s="130"/>
      <c r="AP146" s="130"/>
      <c r="AQ146" s="130"/>
      <c r="AR146" s="130"/>
      <c r="AS146" s="130"/>
      <c r="AT146" s="130"/>
      <c r="AU146" s="130"/>
      <c r="AV146" s="130"/>
      <c r="AW146" s="130"/>
      <c r="AX146" s="130"/>
      <c r="AY146" s="130"/>
      <c r="AZ146" s="130"/>
      <c r="BA146" s="130"/>
      <c r="BB146" s="130"/>
      <c r="BC146" s="130"/>
      <c r="BD146" s="130"/>
      <c r="BE146" s="130"/>
      <c r="BF146" s="130"/>
      <c r="BG146" s="130"/>
      <c r="BH146" s="130"/>
    </row>
    <row r="147" ht="31" customHeight="1" spans="1:60">
      <c r="A147" s="36"/>
      <c r="B147" s="61" t="s">
        <v>59</v>
      </c>
      <c r="C147" s="61" t="s">
        <v>84</v>
      </c>
      <c r="D147" s="61"/>
      <c r="E147" s="61" t="s">
        <v>85</v>
      </c>
      <c r="F147" s="61" t="s">
        <v>86</v>
      </c>
      <c r="G147" s="61"/>
      <c r="H147" s="133" t="s">
        <v>87</v>
      </c>
      <c r="I147" s="133" t="s">
        <v>88</v>
      </c>
      <c r="J147" s="61" t="s">
        <v>89</v>
      </c>
      <c r="K147" s="61" t="s">
        <v>100</v>
      </c>
      <c r="L147" s="61" t="s">
        <v>91</v>
      </c>
      <c r="M147" s="61" t="s">
        <v>92</v>
      </c>
      <c r="N147" s="61" t="s">
        <v>38</v>
      </c>
      <c r="O147" s="61" t="s">
        <v>39</v>
      </c>
      <c r="P147" s="127" t="s">
        <v>201</v>
      </c>
      <c r="Q147" s="127" t="s">
        <v>202</v>
      </c>
      <c r="R147" s="175" t="s">
        <v>203</v>
      </c>
      <c r="S147" s="176"/>
      <c r="T147" s="127"/>
      <c r="U147" s="127"/>
      <c r="V147" s="127"/>
      <c r="W147" s="127"/>
      <c r="X147" s="127"/>
      <c r="Y147" s="127"/>
      <c r="Z147" s="127"/>
      <c r="AA147" s="127"/>
      <c r="AB147" s="127" t="s">
        <v>188</v>
      </c>
      <c r="AC147" s="127" t="s">
        <v>189</v>
      </c>
      <c r="AK147" s="130"/>
      <c r="AL147" s="130"/>
      <c r="AM147" s="130"/>
      <c r="AN147" s="130"/>
      <c r="AO147" s="130"/>
      <c r="AP147" s="130"/>
      <c r="AQ147" s="130"/>
      <c r="AR147" s="130"/>
      <c r="AS147" s="130"/>
      <c r="AT147" s="130"/>
      <c r="AU147" s="130"/>
      <c r="AV147" s="130"/>
      <c r="AW147" s="130"/>
      <c r="AX147" s="130"/>
      <c r="AY147" s="130"/>
      <c r="AZ147" s="130"/>
      <c r="BA147" s="130"/>
      <c r="BB147" s="130"/>
      <c r="BC147" s="130"/>
      <c r="BD147" s="130"/>
      <c r="BE147" s="130"/>
      <c r="BF147" s="130"/>
      <c r="BG147" s="130"/>
      <c r="BH147" s="130"/>
    </row>
    <row r="148" ht="31" customHeight="1" spans="1:60">
      <c r="A148" s="36"/>
      <c r="B148" s="134"/>
      <c r="C148" s="134"/>
      <c r="D148" s="134"/>
      <c r="E148" s="134"/>
      <c r="F148" s="135"/>
      <c r="G148" s="135"/>
      <c r="H148" s="135"/>
      <c r="I148" s="135"/>
      <c r="J148" s="158"/>
      <c r="K148" s="158"/>
      <c r="L148" s="159" t="str">
        <f>IF(B148&lt;&gt;"",AB148+AC148,"")</f>
        <v/>
      </c>
      <c r="M148" s="159" t="str">
        <f>IF(B148&lt;&gt;"",P148*L148,"")</f>
        <v/>
      </c>
      <c r="N148" s="160"/>
      <c r="O148" s="160"/>
      <c r="P148" s="32">
        <f>IF(AND(OR(C148="教学团队",C148="科研创新团队（平台）"),E148="国家级"),40,IF(AND(OR(C148="教学团队",C148="科研创新团队（平台）"),E148="省级"),20,IF(AND(OR(C148="教学团队",C148="科研创新团队（平台）"),E148="市级"),10,IF(AND(OR(C148="教学团队",C148="科研创新团队（平台）"),E148="校级"),5,0))))</f>
        <v>0</v>
      </c>
      <c r="Q148" s="32">
        <f>IF(OR(I148="独立完成",K148=1),1,0)</f>
        <v>0</v>
      </c>
      <c r="R148" s="128">
        <f>IF(AND(NOT(E148="校级"),AND(K148&lt;&gt;"",K148&lt;&gt;1,K148&lt;4)),1,0)</f>
        <v>0</v>
      </c>
      <c r="S148" s="129"/>
      <c r="T148" s="32"/>
      <c r="U148" s="32"/>
      <c r="V148" s="32"/>
      <c r="W148" s="32"/>
      <c r="X148" s="166"/>
      <c r="Y148" s="166"/>
      <c r="Z148" s="166"/>
      <c r="AA148" s="160"/>
      <c r="AB148" s="160">
        <f>IF(B148="团队建设",IF(I148="独立完成",1,IF(K148=1,0.6,IF(AND(J148=2,K148=2),0.4,IF(AND(J148&gt;2,K148=2),0.3,IF(AND(J148&gt;2,K148=3),0.2,IF(AND(J148&gt;2,K148&gt;3),0.1)))))),0)</f>
        <v>0</v>
      </c>
      <c r="AC148" s="160">
        <f>IF(NOT(B148="团队建设"),IF(I148="独立完成",1,IF(K148=1,0.5,IF(AND(J148=2,K148=2),0.5,IF(AND(J148&gt;2,K148=2),0.3,IF(AND(J148&gt;2,K148=3),0.2,IF(AND(J148&gt;2,K148&gt;3),0.1,0)))))),0)</f>
        <v>0</v>
      </c>
      <c r="AD148" s="160"/>
      <c r="AE148" s="160"/>
      <c r="AK148" s="130"/>
      <c r="AL148" s="130"/>
      <c r="AM148" s="130"/>
      <c r="AN148" s="130"/>
      <c r="AO148" s="130"/>
      <c r="AP148" s="130"/>
      <c r="AQ148" s="130"/>
      <c r="AR148" s="130"/>
      <c r="AS148" s="130"/>
      <c r="AT148" s="130"/>
      <c r="AU148" s="130"/>
      <c r="AV148" s="130"/>
      <c r="AW148" s="130"/>
      <c r="AX148" s="130"/>
      <c r="AY148" s="130"/>
      <c r="AZ148" s="130"/>
      <c r="BA148" s="130"/>
      <c r="BB148" s="130"/>
      <c r="BC148" s="130"/>
      <c r="BD148" s="130"/>
      <c r="BE148" s="130"/>
      <c r="BF148" s="130"/>
      <c r="BG148" s="130"/>
      <c r="BH148" s="130"/>
    </row>
    <row r="149" ht="31" customHeight="1" spans="1:60">
      <c r="A149" s="36"/>
      <c r="B149" s="134"/>
      <c r="C149" s="134"/>
      <c r="D149" s="134"/>
      <c r="E149" s="134"/>
      <c r="F149" s="135"/>
      <c r="G149" s="135"/>
      <c r="H149" s="135"/>
      <c r="I149" s="135"/>
      <c r="J149" s="158"/>
      <c r="K149" s="158"/>
      <c r="L149" s="159" t="str">
        <f>IF(B149&lt;&gt;"",AB149+AC149,"")</f>
        <v/>
      </c>
      <c r="M149" s="159" t="str">
        <f>IF(B149&lt;&gt;"",P149*L149,"")</f>
        <v/>
      </c>
      <c r="N149" s="160"/>
      <c r="O149" s="160"/>
      <c r="P149" s="32">
        <f>IF(AND(OR(C149="教学团队",C149="科研创新团队（平台）"),E149="国家级"),40,IF(AND(OR(C149="教学团队",C149="科研创新团队（平台）"),E149="省级"),20,IF(AND(OR(C149="教学团队",C149="科研创新团队（平台）"),E149="市级"),10,IF(AND(OR(C149="教学团队",C149="科研创新团队（平台）"),E149="校级"),5,0))))</f>
        <v>0</v>
      </c>
      <c r="Q149" s="32">
        <f>IF(OR(I149="独立完成",K149=1),1,0)</f>
        <v>0</v>
      </c>
      <c r="R149" s="128">
        <f>IF(AND(NOT(E149="校级"),AND(K149&lt;&gt;"",K149&lt;&gt;1,K149&lt;4)),1,0)</f>
        <v>0</v>
      </c>
      <c r="S149" s="129"/>
      <c r="T149" s="32"/>
      <c r="U149" s="32"/>
      <c r="V149" s="32"/>
      <c r="W149" s="32"/>
      <c r="X149" s="166"/>
      <c r="Y149" s="166"/>
      <c r="Z149" s="166"/>
      <c r="AA149" s="160"/>
      <c r="AB149" s="160">
        <f>IF(B149="团队建设",IF(I149="独立完成",1,IF(K149=1,0.6,IF(AND(J149=2,K149=2),0.4,IF(AND(J149&gt;2,K149=2),0.3,IF(AND(J149&gt;2,K149=3),0.2,IF(AND(J149&gt;2,K149&gt;3),0.1)))))),0)</f>
        <v>0</v>
      </c>
      <c r="AC149" s="160">
        <f>IF(NOT(B149="团队建设"),IF(I149="独立完成",1,IF(K149=1,0.5,IF(AND(J149=2,K149=2),0.5,IF(AND(J149&gt;2,K149=2),0.3,IF(AND(J149&gt;2,K149=3),0.2,IF(AND(J149&gt;2,K149&gt;3),0.1,0)))))),0)</f>
        <v>0</v>
      </c>
      <c r="AD149" s="160"/>
      <c r="AE149" s="160"/>
      <c r="AK149" s="130"/>
      <c r="AL149" s="130"/>
      <c r="AM149" s="130"/>
      <c r="AN149" s="130"/>
      <c r="AO149" s="130"/>
      <c r="AP149" s="130"/>
      <c r="AQ149" s="130"/>
      <c r="AR149" s="130"/>
      <c r="AS149" s="130"/>
      <c r="AT149" s="130"/>
      <c r="AU149" s="130"/>
      <c r="AV149" s="130"/>
      <c r="AW149" s="130"/>
      <c r="AX149" s="130"/>
      <c r="AY149" s="130"/>
      <c r="AZ149" s="130"/>
      <c r="BA149" s="130"/>
      <c r="BB149" s="130"/>
      <c r="BC149" s="130"/>
      <c r="BD149" s="130"/>
      <c r="BE149" s="130"/>
      <c r="BF149" s="130"/>
      <c r="BG149" s="130"/>
      <c r="BH149" s="130"/>
    </row>
    <row r="150" ht="31" customHeight="1" spans="1:60">
      <c r="A150" s="36"/>
      <c r="B150" s="136"/>
      <c r="C150" s="137"/>
      <c r="D150" s="137"/>
      <c r="E150" s="137"/>
      <c r="F150" s="137"/>
      <c r="G150" s="137"/>
      <c r="H150" s="137"/>
      <c r="I150" s="137"/>
      <c r="J150" s="137"/>
      <c r="K150" s="137"/>
      <c r="L150" s="161"/>
      <c r="M150" s="159">
        <f>IF(M148&lt;&gt;"",SUM(M148:M149),0)</f>
        <v>0</v>
      </c>
      <c r="N150" s="162"/>
      <c r="O150" s="162"/>
      <c r="Q150" s="32"/>
      <c r="AB150" s="160"/>
      <c r="AK150" s="130"/>
      <c r="AL150" s="130"/>
      <c r="AM150" s="130"/>
      <c r="AN150" s="130"/>
      <c r="AO150" s="130"/>
      <c r="AP150" s="130"/>
      <c r="AQ150" s="130"/>
      <c r="AR150" s="130"/>
      <c r="AS150" s="130"/>
      <c r="AT150" s="130"/>
      <c r="AU150" s="130"/>
      <c r="AV150" s="130"/>
      <c r="AW150" s="130"/>
      <c r="AX150" s="130"/>
      <c r="AY150" s="130"/>
      <c r="AZ150" s="130"/>
      <c r="BA150" s="130"/>
      <c r="BB150" s="130"/>
      <c r="BC150" s="130"/>
      <c r="BD150" s="130"/>
      <c r="BE150" s="130"/>
      <c r="BF150" s="130"/>
      <c r="BG150" s="130"/>
      <c r="BH150" s="130"/>
    </row>
    <row r="151" ht="31" customHeight="1" spans="1:60">
      <c r="A151" s="36"/>
      <c r="B151" s="77" t="s">
        <v>204</v>
      </c>
      <c r="C151" s="77"/>
      <c r="D151" s="77"/>
      <c r="E151" s="77"/>
      <c r="F151" s="77"/>
      <c r="G151" s="77"/>
      <c r="H151" s="77"/>
      <c r="I151" s="77"/>
      <c r="J151" s="77"/>
      <c r="K151" s="77"/>
      <c r="L151" s="77"/>
      <c r="M151" s="77"/>
      <c r="N151" s="77"/>
      <c r="O151" s="77"/>
      <c r="AK151" s="130"/>
      <c r="AL151" s="130"/>
      <c r="AM151" s="130"/>
      <c r="AN151" s="130"/>
      <c r="AO151" s="130"/>
      <c r="AP151" s="130"/>
      <c r="AQ151" s="130"/>
      <c r="AR151" s="130"/>
      <c r="AS151" s="130"/>
      <c r="AT151" s="130"/>
      <c r="AU151" s="130"/>
      <c r="AV151" s="130"/>
      <c r="AW151" s="130"/>
      <c r="AX151" s="130"/>
      <c r="AY151" s="130"/>
      <c r="AZ151" s="130"/>
      <c r="BA151" s="130"/>
      <c r="BB151" s="130"/>
      <c r="BC151" s="130"/>
      <c r="BD151" s="130"/>
      <c r="BE151" s="130"/>
      <c r="BF151" s="130"/>
      <c r="BG151" s="130"/>
      <c r="BH151" s="130"/>
    </row>
    <row r="152" ht="31" customHeight="1" spans="1:60">
      <c r="A152" s="36"/>
      <c r="B152" s="138" t="s">
        <v>205</v>
      </c>
      <c r="C152" s="138"/>
      <c r="D152" s="138"/>
      <c r="E152" s="138"/>
      <c r="F152" s="138"/>
      <c r="G152" s="138"/>
      <c r="H152" s="138"/>
      <c r="I152" s="138"/>
      <c r="J152" s="138"/>
      <c r="K152" s="138"/>
      <c r="L152" s="138"/>
      <c r="M152" s="138"/>
      <c r="N152" s="138"/>
      <c r="O152" s="138"/>
      <c r="AK152" s="130"/>
      <c r="AL152" s="130"/>
      <c r="AM152" s="130"/>
      <c r="AN152" s="130"/>
      <c r="AO152" s="130"/>
      <c r="AP152" s="130"/>
      <c r="AQ152" s="130"/>
      <c r="AR152" s="130"/>
      <c r="AS152" s="130"/>
      <c r="AT152" s="130"/>
      <c r="AU152" s="130"/>
      <c r="AV152" s="130"/>
      <c r="AW152" s="130"/>
      <c r="AX152" s="130"/>
      <c r="AY152" s="130"/>
      <c r="AZ152" s="130"/>
      <c r="BA152" s="130"/>
      <c r="BB152" s="130"/>
      <c r="BC152" s="130"/>
      <c r="BD152" s="130"/>
      <c r="BE152" s="130"/>
      <c r="BF152" s="130"/>
      <c r="BG152" s="130"/>
      <c r="BH152" s="130"/>
    </row>
    <row r="153" ht="29.3" customHeight="1" spans="1:60">
      <c r="A153" s="36"/>
      <c r="B153" s="78" t="s">
        <v>206</v>
      </c>
      <c r="C153" s="78" t="s">
        <v>207</v>
      </c>
      <c r="D153" s="79"/>
      <c r="E153" s="79"/>
      <c r="F153" s="79"/>
      <c r="G153" s="85"/>
      <c r="H153" s="78" t="s">
        <v>208</v>
      </c>
      <c r="I153" s="81"/>
      <c r="J153" s="96" t="s">
        <v>209</v>
      </c>
      <c r="K153" s="78" t="s">
        <v>210</v>
      </c>
      <c r="L153" s="85"/>
      <c r="M153" s="61" t="s">
        <v>92</v>
      </c>
      <c r="N153" s="61" t="s">
        <v>38</v>
      </c>
      <c r="O153" s="61" t="s">
        <v>39</v>
      </c>
      <c r="P153" s="32" t="s">
        <v>211</v>
      </c>
      <c r="Q153" s="246" t="s">
        <v>199</v>
      </c>
      <c r="AK153" s="130"/>
      <c r="AL153" s="130"/>
      <c r="AM153" s="130"/>
      <c r="AN153" s="130"/>
      <c r="AO153" s="130"/>
      <c r="AP153" s="130"/>
      <c r="AQ153" s="130"/>
      <c r="AR153" s="130"/>
      <c r="AS153" s="130"/>
      <c r="AT153" s="130"/>
      <c r="AU153" s="130"/>
      <c r="AV153" s="130"/>
      <c r="AW153" s="130"/>
      <c r="AX153" s="130"/>
      <c r="AY153" s="130"/>
      <c r="AZ153" s="130"/>
      <c r="BA153" s="130"/>
      <c r="BB153" s="130"/>
      <c r="BC153" s="130"/>
      <c r="BD153" s="130"/>
      <c r="BE153" s="130"/>
      <c r="BF153" s="130"/>
      <c r="BG153" s="130"/>
      <c r="BH153" s="130"/>
    </row>
    <row r="154" ht="29.3" customHeight="1" spans="1:60">
      <c r="A154" s="36"/>
      <c r="B154" s="189"/>
      <c r="C154" s="82"/>
      <c r="D154" s="86"/>
      <c r="E154" s="86"/>
      <c r="F154" s="86"/>
      <c r="G154" s="86"/>
      <c r="H154" s="84"/>
      <c r="I154" s="84"/>
      <c r="J154" s="122"/>
      <c r="K154" s="82"/>
      <c r="L154" s="83"/>
      <c r="M154" s="159" t="str">
        <f>IF(B154&lt;&gt;"",P154,"")</f>
        <v/>
      </c>
      <c r="N154" s="122"/>
      <c r="O154" s="122"/>
      <c r="P154" s="32">
        <f>IF(B154="校内",1,IF(OR(B154="其他兄弟院校",B154="市级以上层面"),2,0))</f>
        <v>0</v>
      </c>
      <c r="Q154" s="186">
        <f>IF(AND(M154&lt;&gt;"",M154&gt;0),1,0)</f>
        <v>0</v>
      </c>
      <c r="AK154" s="130"/>
      <c r="AL154" s="130"/>
      <c r="AM154" s="130"/>
      <c r="AN154" s="130"/>
      <c r="AO154" s="130"/>
      <c r="AP154" s="130"/>
      <c r="AQ154" s="130"/>
      <c r="AR154" s="130"/>
      <c r="AS154" s="130"/>
      <c r="AT154" s="130"/>
      <c r="AU154" s="130"/>
      <c r="AV154" s="130"/>
      <c r="AW154" s="130"/>
      <c r="AX154" s="130"/>
      <c r="AY154" s="130"/>
      <c r="AZ154" s="130"/>
      <c r="BA154" s="130"/>
      <c r="BB154" s="130"/>
      <c r="BC154" s="130"/>
      <c r="BD154" s="130"/>
      <c r="BE154" s="130"/>
      <c r="BF154" s="130"/>
      <c r="BG154" s="130"/>
      <c r="BH154" s="130"/>
    </row>
    <row r="155" ht="29.3" customHeight="1" spans="1:60">
      <c r="A155" s="36"/>
      <c r="B155" s="189"/>
      <c r="C155" s="82"/>
      <c r="D155" s="86"/>
      <c r="E155" s="86"/>
      <c r="F155" s="86"/>
      <c r="G155" s="86"/>
      <c r="H155" s="84"/>
      <c r="I155" s="84"/>
      <c r="J155" s="122"/>
      <c r="K155" s="82"/>
      <c r="L155" s="83"/>
      <c r="M155" s="159" t="str">
        <f>IF(B155&lt;&gt;"",P155,"")</f>
        <v/>
      </c>
      <c r="N155" s="122"/>
      <c r="O155" s="122"/>
      <c r="P155" s="32">
        <f>IF(B155="校内",1,IF(OR(B155="其他兄弟院校",B155="市级以上层面"),2,0))</f>
        <v>0</v>
      </c>
      <c r="Q155" s="186">
        <f>IF(AND(M155&lt;&gt;"",M155&gt;0),1,0)</f>
        <v>0</v>
      </c>
      <c r="AK155" s="130"/>
      <c r="AL155" s="130"/>
      <c r="AM155" s="130"/>
      <c r="AN155" s="130"/>
      <c r="AO155" s="130"/>
      <c r="AP155" s="130"/>
      <c r="AQ155" s="130"/>
      <c r="AR155" s="130"/>
      <c r="AS155" s="130"/>
      <c r="AT155" s="130"/>
      <c r="AU155" s="130"/>
      <c r="AV155" s="130"/>
      <c r="AW155" s="130"/>
      <c r="AX155" s="130"/>
      <c r="AY155" s="130"/>
      <c r="AZ155" s="130"/>
      <c r="BA155" s="130"/>
      <c r="BB155" s="130"/>
      <c r="BC155" s="130"/>
      <c r="BD155" s="130"/>
      <c r="BE155" s="130"/>
      <c r="BF155" s="130"/>
      <c r="BG155" s="130"/>
      <c r="BH155" s="130"/>
    </row>
    <row r="156" ht="29.3" customHeight="1" spans="1:60">
      <c r="A156" s="36"/>
      <c r="B156" s="189"/>
      <c r="C156" s="82"/>
      <c r="D156" s="86"/>
      <c r="E156" s="86"/>
      <c r="F156" s="86"/>
      <c r="G156" s="86"/>
      <c r="H156" s="84"/>
      <c r="I156" s="84"/>
      <c r="J156" s="122"/>
      <c r="K156" s="82"/>
      <c r="L156" s="83"/>
      <c r="M156" s="159" t="str">
        <f>IF(B156&lt;&gt;"",P156,"")</f>
        <v/>
      </c>
      <c r="N156" s="122"/>
      <c r="O156" s="122"/>
      <c r="P156" s="32">
        <f>IF(B156="校内",1,IF(OR(B156="其他兄弟院校",B156="市级以上层面"),2,0))</f>
        <v>0</v>
      </c>
      <c r="Q156" s="186">
        <f>IF(AND(M156&lt;&gt;"",M156&gt;0),1,0)</f>
        <v>0</v>
      </c>
      <c r="AK156" s="130"/>
      <c r="AL156" s="130"/>
      <c r="AM156" s="130"/>
      <c r="AN156" s="130"/>
      <c r="AO156" s="130"/>
      <c r="AP156" s="130"/>
      <c r="AQ156" s="130"/>
      <c r="AR156" s="130"/>
      <c r="AS156" s="130"/>
      <c r="AT156" s="130"/>
      <c r="AU156" s="130"/>
      <c r="AV156" s="130"/>
      <c r="AW156" s="130"/>
      <c r="AX156" s="130"/>
      <c r="AY156" s="130"/>
      <c r="AZ156" s="130"/>
      <c r="BA156" s="130"/>
      <c r="BB156" s="130"/>
      <c r="BC156" s="130"/>
      <c r="BD156" s="130"/>
      <c r="BE156" s="130"/>
      <c r="BF156" s="130"/>
      <c r="BG156" s="130"/>
      <c r="BH156" s="130"/>
    </row>
    <row r="157" ht="31" customHeight="1" spans="1:60">
      <c r="A157" s="36"/>
      <c r="B157" s="136"/>
      <c r="C157" s="137"/>
      <c r="D157" s="137"/>
      <c r="E157" s="137"/>
      <c r="F157" s="137"/>
      <c r="G157" s="137"/>
      <c r="H157" s="137"/>
      <c r="I157" s="137"/>
      <c r="J157" s="137"/>
      <c r="K157" s="137"/>
      <c r="L157" s="161"/>
      <c r="M157" s="159">
        <f>IF(M154&lt;&gt;"",SUM(M154:M156),0)</f>
        <v>0</v>
      </c>
      <c r="N157" s="162"/>
      <c r="O157" s="162"/>
      <c r="Q157" s="32"/>
      <c r="AB157" s="160"/>
      <c r="AK157" s="130"/>
      <c r="AL157" s="130"/>
      <c r="AM157" s="130"/>
      <c r="AN157" s="130"/>
      <c r="AO157" s="130"/>
      <c r="AP157" s="130"/>
      <c r="AQ157" s="130"/>
      <c r="AR157" s="130"/>
      <c r="AS157" s="130"/>
      <c r="AT157" s="130"/>
      <c r="AU157" s="130"/>
      <c r="AV157" s="130"/>
      <c r="AW157" s="130"/>
      <c r="AX157" s="130"/>
      <c r="AY157" s="130"/>
      <c r="AZ157" s="130"/>
      <c r="BA157" s="130"/>
      <c r="BB157" s="130"/>
      <c r="BC157" s="130"/>
      <c r="BD157" s="130"/>
      <c r="BE157" s="130"/>
      <c r="BF157" s="130"/>
      <c r="BG157" s="130"/>
      <c r="BH157" s="130"/>
    </row>
    <row r="158" ht="31" customHeight="1" spans="1:60">
      <c r="A158" s="36"/>
      <c r="B158" s="138" t="s">
        <v>212</v>
      </c>
      <c r="C158" s="138"/>
      <c r="D158" s="138"/>
      <c r="E158" s="138"/>
      <c r="F158" s="138"/>
      <c r="G158" s="138"/>
      <c r="H158" s="138"/>
      <c r="I158" s="138"/>
      <c r="J158" s="138"/>
      <c r="K158" s="138"/>
      <c r="L158" s="138"/>
      <c r="M158" s="138"/>
      <c r="N158" s="138"/>
      <c r="O158" s="138"/>
      <c r="AK158" s="130"/>
      <c r="AL158" s="130"/>
      <c r="AM158" s="130"/>
      <c r="AN158" s="130"/>
      <c r="AO158" s="130"/>
      <c r="AP158" s="130"/>
      <c r="AQ158" s="130"/>
      <c r="AR158" s="130"/>
      <c r="AS158" s="130"/>
      <c r="AT158" s="130"/>
      <c r="AU158" s="130"/>
      <c r="AV158" s="130"/>
      <c r="AW158" s="130"/>
      <c r="AX158" s="130"/>
      <c r="AY158" s="130"/>
      <c r="AZ158" s="130"/>
      <c r="BA158" s="130"/>
      <c r="BB158" s="130"/>
      <c r="BC158" s="130"/>
      <c r="BD158" s="130"/>
      <c r="BE158" s="130"/>
      <c r="BF158" s="130"/>
      <c r="BG158" s="130"/>
      <c r="BH158" s="130"/>
    </row>
    <row r="159" ht="29.3" customHeight="1" spans="1:60">
      <c r="A159" s="36"/>
      <c r="B159" s="61" t="s">
        <v>213</v>
      </c>
      <c r="C159" s="114" t="s">
        <v>214</v>
      </c>
      <c r="D159" s="116"/>
      <c r="E159" s="116"/>
      <c r="F159" s="116"/>
      <c r="G159" s="112"/>
      <c r="H159" s="114" t="s">
        <v>215</v>
      </c>
      <c r="I159" s="116"/>
      <c r="J159" s="116"/>
      <c r="K159" s="116"/>
      <c r="L159" s="116"/>
      <c r="M159" s="112"/>
      <c r="N159" s="61" t="s">
        <v>38</v>
      </c>
      <c r="O159" s="61" t="s">
        <v>39</v>
      </c>
      <c r="P159" s="32" t="s">
        <v>82</v>
      </c>
      <c r="AK159" s="130"/>
      <c r="AL159" s="130"/>
      <c r="AM159" s="130"/>
      <c r="AN159" s="130"/>
      <c r="AO159" s="130"/>
      <c r="AP159" s="130"/>
      <c r="AQ159" s="130"/>
      <c r="AR159" s="130"/>
      <c r="AS159" s="130"/>
      <c r="AT159" s="130"/>
      <c r="AU159" s="130"/>
      <c r="AV159" s="130"/>
      <c r="AW159" s="130"/>
      <c r="AX159" s="130"/>
      <c r="AY159" s="130"/>
      <c r="AZ159" s="130"/>
      <c r="BA159" s="130"/>
      <c r="BB159" s="130"/>
      <c r="BC159" s="130"/>
      <c r="BD159" s="130"/>
      <c r="BE159" s="130"/>
      <c r="BF159" s="130"/>
      <c r="BG159" s="130"/>
      <c r="BH159" s="130"/>
    </row>
    <row r="160" ht="29.3" customHeight="1" spans="1:60">
      <c r="A160" s="36"/>
      <c r="B160" s="61"/>
      <c r="C160" s="190"/>
      <c r="D160" s="191"/>
      <c r="E160" s="191"/>
      <c r="F160" s="191"/>
      <c r="G160" s="192"/>
      <c r="H160" s="190"/>
      <c r="I160" s="191"/>
      <c r="J160" s="191"/>
      <c r="K160" s="191"/>
      <c r="L160" s="191"/>
      <c r="M160" s="192"/>
      <c r="N160" s="220"/>
      <c r="O160" s="220"/>
      <c r="P160" s="32">
        <f>IF(C160&lt;&gt;"",3,0)</f>
        <v>0</v>
      </c>
      <c r="AK160" s="130"/>
      <c r="AL160" s="130"/>
      <c r="AM160" s="130"/>
      <c r="AN160" s="130"/>
      <c r="AO160" s="130"/>
      <c r="AP160" s="130"/>
      <c r="AQ160" s="130"/>
      <c r="AR160" s="130"/>
      <c r="AS160" s="130"/>
      <c r="AT160" s="130"/>
      <c r="AU160" s="130"/>
      <c r="AV160" s="130"/>
      <c r="AW160" s="130"/>
      <c r="AX160" s="130"/>
      <c r="AY160" s="130"/>
      <c r="AZ160" s="130"/>
      <c r="BA160" s="130"/>
      <c r="BB160" s="130"/>
      <c r="BC160" s="130"/>
      <c r="BD160" s="130"/>
      <c r="BE160" s="130"/>
      <c r="BF160" s="130"/>
      <c r="BG160" s="130"/>
      <c r="BH160" s="130"/>
    </row>
    <row r="161" ht="29.3" customHeight="1" spans="1:60">
      <c r="A161" s="36"/>
      <c r="B161" s="61"/>
      <c r="C161" s="190"/>
      <c r="D161" s="191"/>
      <c r="E161" s="191"/>
      <c r="F161" s="191"/>
      <c r="G161" s="192"/>
      <c r="H161" s="190"/>
      <c r="I161" s="191"/>
      <c r="J161" s="191"/>
      <c r="K161" s="191"/>
      <c r="L161" s="191"/>
      <c r="M161" s="192"/>
      <c r="N161" s="220"/>
      <c r="O161" s="32"/>
      <c r="P161" s="32"/>
      <c r="AK161" s="130"/>
      <c r="AL161" s="130"/>
      <c r="AM161" s="130"/>
      <c r="AN161" s="130"/>
      <c r="AO161" s="130"/>
      <c r="AP161" s="130"/>
      <c r="AQ161" s="130"/>
      <c r="AR161" s="130"/>
      <c r="AS161" s="130"/>
      <c r="AT161" s="130"/>
      <c r="AU161" s="130"/>
      <c r="AV161" s="130"/>
      <c r="AW161" s="130"/>
      <c r="AX161" s="130"/>
      <c r="AY161" s="130"/>
      <c r="AZ161" s="130"/>
      <c r="BA161" s="130"/>
      <c r="BB161" s="130"/>
      <c r="BC161" s="130"/>
      <c r="BD161" s="130"/>
      <c r="BE161" s="130"/>
      <c r="BF161" s="130"/>
      <c r="BG161" s="130"/>
      <c r="BH161" s="130"/>
    </row>
    <row r="162" ht="31" customHeight="1" spans="1:60">
      <c r="A162" s="36"/>
      <c r="B162" s="149" t="s">
        <v>216</v>
      </c>
      <c r="C162" s="149"/>
      <c r="D162" s="149"/>
      <c r="E162" s="149"/>
      <c r="F162" s="149"/>
      <c r="G162" s="149"/>
      <c r="H162" s="149"/>
      <c r="I162" s="149"/>
      <c r="J162" s="149"/>
      <c r="K162" s="149"/>
      <c r="L162" s="149"/>
      <c r="M162" s="149"/>
      <c r="N162" s="149"/>
      <c r="O162" s="149"/>
      <c r="AK162" s="130"/>
      <c r="AL162" s="130"/>
      <c r="AM162" s="130"/>
      <c r="AN162" s="130"/>
      <c r="AO162" s="130"/>
      <c r="AP162" s="130"/>
      <c r="AQ162" s="130"/>
      <c r="AR162" s="130"/>
      <c r="AS162" s="130"/>
      <c r="AT162" s="130"/>
      <c r="AU162" s="130"/>
      <c r="AV162" s="130"/>
      <c r="AW162" s="130"/>
      <c r="AX162" s="130"/>
      <c r="AY162" s="130"/>
      <c r="AZ162" s="130"/>
      <c r="BA162" s="130"/>
      <c r="BB162" s="130"/>
      <c r="BC162" s="130"/>
      <c r="BD162" s="130"/>
      <c r="BE162" s="130"/>
      <c r="BF162" s="130"/>
      <c r="BG162" s="130"/>
      <c r="BH162" s="130"/>
    </row>
    <row r="163" ht="31" customHeight="1" spans="1:60">
      <c r="A163" s="36"/>
      <c r="B163" s="114" t="s">
        <v>59</v>
      </c>
      <c r="C163" s="116"/>
      <c r="D163" s="112"/>
      <c r="E163" s="61" t="s">
        <v>84</v>
      </c>
      <c r="F163" s="114" t="s">
        <v>217</v>
      </c>
      <c r="G163" s="116"/>
      <c r="H163" s="116"/>
      <c r="I163" s="112"/>
      <c r="J163" s="61" t="s">
        <v>218</v>
      </c>
      <c r="K163" s="114" t="s">
        <v>215</v>
      </c>
      <c r="L163" s="112"/>
      <c r="M163" s="61" t="s">
        <v>92</v>
      </c>
      <c r="N163" s="61" t="s">
        <v>38</v>
      </c>
      <c r="O163" s="61" t="s">
        <v>39</v>
      </c>
      <c r="P163" s="127" t="s">
        <v>219</v>
      </c>
      <c r="Q163" s="127"/>
      <c r="R163" s="127"/>
      <c r="S163" s="127"/>
      <c r="T163" s="127"/>
      <c r="U163" s="127"/>
      <c r="V163" s="127"/>
      <c r="W163" s="127"/>
      <c r="X163" s="127"/>
      <c r="Y163" s="127"/>
      <c r="Z163" s="127"/>
      <c r="AA163" s="127"/>
      <c r="AB163" s="127"/>
      <c r="AC163" s="127"/>
      <c r="AD163" s="127"/>
      <c r="AE163" s="127"/>
      <c r="AF163" s="127"/>
      <c r="AG163" s="127"/>
      <c r="AH163" s="127"/>
      <c r="AI163" s="127"/>
      <c r="AJ163" s="175"/>
      <c r="AK163" s="130"/>
      <c r="AL163" s="130"/>
      <c r="AM163" s="130"/>
      <c r="AN163" s="130"/>
      <c r="AO163" s="130"/>
      <c r="AP163" s="130"/>
      <c r="AQ163" s="130"/>
      <c r="AR163" s="130"/>
      <c r="AS163" s="130"/>
      <c r="AT163" s="130"/>
      <c r="AU163" s="130"/>
      <c r="AV163" s="130"/>
      <c r="AW163" s="130"/>
      <c r="AX163" s="130"/>
      <c r="AY163" s="130"/>
      <c r="AZ163" s="130"/>
      <c r="BA163" s="130"/>
      <c r="BB163" s="130"/>
      <c r="BC163" s="130"/>
      <c r="BD163" s="130"/>
      <c r="BE163" s="130"/>
      <c r="BF163" s="130"/>
      <c r="BG163" s="130"/>
      <c r="BH163" s="130"/>
    </row>
    <row r="164" ht="31" customHeight="1" spans="1:60">
      <c r="A164" s="36"/>
      <c r="B164" s="143"/>
      <c r="C164" s="144"/>
      <c r="D164" s="145"/>
      <c r="E164" s="134"/>
      <c r="F164" s="143"/>
      <c r="G164" s="144"/>
      <c r="H164" s="144"/>
      <c r="I164" s="145"/>
      <c r="J164" s="221"/>
      <c r="K164" s="222"/>
      <c r="L164" s="223"/>
      <c r="M164" s="159" t="str">
        <f>IF(B164&lt;&gt;"",P164,"")</f>
        <v/>
      </c>
      <c r="N164" s="160"/>
      <c r="O164" s="160"/>
      <c r="P164" s="32">
        <f>IF(B164&lt;&gt;"",3,0)</f>
        <v>0</v>
      </c>
      <c r="Q164" s="32"/>
      <c r="S164" s="32"/>
      <c r="T164" s="32"/>
      <c r="U164" s="32"/>
      <c r="V164" s="32"/>
      <c r="W164" s="32"/>
      <c r="X164" s="166"/>
      <c r="Y164" s="166"/>
      <c r="Z164" s="32"/>
      <c r="AA164" s="32"/>
      <c r="AB164" s="32"/>
      <c r="AC164" s="32"/>
      <c r="AD164" s="32"/>
      <c r="AE164" s="32"/>
      <c r="AF164" s="32"/>
      <c r="AG164" s="32"/>
      <c r="AH164" s="166"/>
      <c r="AI164" s="166"/>
      <c r="AJ164" s="187"/>
      <c r="AK164" s="130"/>
      <c r="AL164" s="130"/>
      <c r="AM164" s="130"/>
      <c r="AN164" s="130"/>
      <c r="AO164" s="130"/>
      <c r="AP164" s="130"/>
      <c r="AQ164" s="130"/>
      <c r="AR164" s="130"/>
      <c r="AS164" s="130"/>
      <c r="AT164" s="130"/>
      <c r="AU164" s="130"/>
      <c r="AV164" s="130"/>
      <c r="AW164" s="130"/>
      <c r="AX164" s="130"/>
      <c r="AY164" s="130"/>
      <c r="AZ164" s="130"/>
      <c r="BA164" s="130"/>
      <c r="BB164" s="130"/>
      <c r="BC164" s="130"/>
      <c r="BD164" s="130"/>
      <c r="BE164" s="130"/>
      <c r="BF164" s="130"/>
      <c r="BG164" s="130"/>
      <c r="BH164" s="130"/>
    </row>
    <row r="165" ht="31" customHeight="1" spans="1:60">
      <c r="A165" s="36"/>
      <c r="B165" s="136" t="s">
        <v>55</v>
      </c>
      <c r="C165" s="137"/>
      <c r="D165" s="137"/>
      <c r="E165" s="137"/>
      <c r="F165" s="137"/>
      <c r="G165" s="137"/>
      <c r="H165" s="137"/>
      <c r="I165" s="137"/>
      <c r="J165" s="137"/>
      <c r="K165" s="137"/>
      <c r="L165" s="161"/>
      <c r="M165" s="159">
        <f>IF(M164&lt;&gt;"",SUM(M164:M164),0)</f>
        <v>0</v>
      </c>
      <c r="N165" s="162"/>
      <c r="O165" s="162"/>
      <c r="AK165" s="130"/>
      <c r="AL165" s="130"/>
      <c r="AM165" s="130"/>
      <c r="AN165" s="130"/>
      <c r="AO165" s="130"/>
      <c r="AP165" s="130"/>
      <c r="AQ165" s="130"/>
      <c r="AR165" s="130"/>
      <c r="AS165" s="130"/>
      <c r="AT165" s="130"/>
      <c r="AU165" s="130"/>
      <c r="AV165" s="130"/>
      <c r="AW165" s="130"/>
      <c r="AX165" s="130"/>
      <c r="AY165" s="130"/>
      <c r="AZ165" s="130"/>
      <c r="BA165" s="130"/>
      <c r="BB165" s="130"/>
      <c r="BC165" s="130"/>
      <c r="BD165" s="130"/>
      <c r="BE165" s="130"/>
      <c r="BF165" s="130"/>
      <c r="BG165" s="130"/>
      <c r="BH165" s="130"/>
    </row>
    <row r="166" ht="31" customHeight="1" spans="1:60">
      <c r="A166" s="36"/>
      <c r="B166" s="138" t="s">
        <v>220</v>
      </c>
      <c r="C166" s="138"/>
      <c r="D166" s="138"/>
      <c r="E166" s="138"/>
      <c r="F166" s="138"/>
      <c r="G166" s="138"/>
      <c r="H166" s="138"/>
      <c r="I166" s="138"/>
      <c r="J166" s="138"/>
      <c r="K166" s="138"/>
      <c r="L166" s="138"/>
      <c r="M166" s="138"/>
      <c r="N166" s="138"/>
      <c r="O166" s="138"/>
      <c r="AK166" s="130"/>
      <c r="AL166" s="130"/>
      <c r="AM166" s="130"/>
      <c r="AN166" s="130"/>
      <c r="AO166" s="130"/>
      <c r="AP166" s="130"/>
      <c r="AQ166" s="130"/>
      <c r="AR166" s="130"/>
      <c r="AS166" s="130"/>
      <c r="AT166" s="130"/>
      <c r="AU166" s="130"/>
      <c r="AV166" s="130"/>
      <c r="AW166" s="130"/>
      <c r="AX166" s="130"/>
      <c r="AY166" s="130"/>
      <c r="AZ166" s="130"/>
      <c r="BA166" s="130"/>
      <c r="BB166" s="130"/>
      <c r="BC166" s="130"/>
      <c r="BD166" s="130"/>
      <c r="BE166" s="130"/>
      <c r="BF166" s="130"/>
      <c r="BG166" s="130"/>
      <c r="BH166" s="130"/>
    </row>
    <row r="167" ht="31" customHeight="1" spans="1:60">
      <c r="A167" s="36"/>
      <c r="B167" s="61" t="s">
        <v>221</v>
      </c>
      <c r="C167" s="66" t="s">
        <v>85</v>
      </c>
      <c r="D167" s="116"/>
      <c r="E167" s="114" t="s">
        <v>222</v>
      </c>
      <c r="F167" s="114" t="s">
        <v>223</v>
      </c>
      <c r="G167" s="116"/>
      <c r="H167" s="112"/>
      <c r="I167" s="114" t="s">
        <v>224</v>
      </c>
      <c r="J167" s="116"/>
      <c r="K167" s="112"/>
      <c r="L167" s="169" t="s">
        <v>91</v>
      </c>
      <c r="M167" s="61" t="s">
        <v>92</v>
      </c>
      <c r="N167" s="61" t="s">
        <v>38</v>
      </c>
      <c r="O167" s="61" t="s">
        <v>39</v>
      </c>
      <c r="P167" s="127" t="s">
        <v>102</v>
      </c>
      <c r="Q167" s="127" t="s">
        <v>225</v>
      </c>
      <c r="R167" s="127" t="s">
        <v>226</v>
      </c>
      <c r="S167" s="127" t="s">
        <v>227</v>
      </c>
      <c r="T167" s="127" t="s">
        <v>228</v>
      </c>
      <c r="U167" s="127" t="s">
        <v>196</v>
      </c>
      <c r="V167" s="32"/>
      <c r="AK167" s="130"/>
      <c r="AL167" s="130"/>
      <c r="AM167" s="130"/>
      <c r="AN167" s="130"/>
      <c r="AO167" s="130"/>
      <c r="AP167" s="130"/>
      <c r="AQ167" s="130"/>
      <c r="AR167" s="130"/>
      <c r="AS167" s="130"/>
      <c r="AT167" s="130"/>
      <c r="AU167" s="130"/>
      <c r="AV167" s="130"/>
      <c r="AW167" s="130"/>
      <c r="AX167" s="130"/>
      <c r="AY167" s="130"/>
      <c r="AZ167" s="130"/>
      <c r="BA167" s="130"/>
      <c r="BB167" s="130"/>
      <c r="BC167" s="130"/>
      <c r="BD167" s="130"/>
      <c r="BE167" s="130"/>
      <c r="BF167" s="130"/>
      <c r="BG167" s="130"/>
      <c r="BH167" s="130"/>
    </row>
    <row r="168" ht="31" customHeight="1" spans="1:60">
      <c r="A168" s="36"/>
      <c r="B168" s="134"/>
      <c r="C168" s="143"/>
      <c r="D168" s="145"/>
      <c r="E168" s="135"/>
      <c r="F168" s="143"/>
      <c r="G168" s="144"/>
      <c r="H168" s="145"/>
      <c r="I168" s="146"/>
      <c r="J168" s="152"/>
      <c r="K168" s="147"/>
      <c r="L168" s="165" t="str">
        <f>IF(B168&lt;&gt;"",1,"")</f>
        <v/>
      </c>
      <c r="M168" s="165" t="str">
        <f>IF(B168&lt;&gt;"",SUM(Q168:T168)*L168,"")</f>
        <v/>
      </c>
      <c r="N168" s="32"/>
      <c r="O168" s="32"/>
      <c r="P168" s="32">
        <f>IF(I168="独立完成",1,IF(K168=1,0.6,IF(K168=2,0.4,IF(K168=3,0.2,IF(K168=4,0.1,IF(K168&gt;4,0.05,0))))))</f>
        <v>0</v>
      </c>
      <c r="Q168" s="32">
        <f>IF(C168="高级",3,0)</f>
        <v>0</v>
      </c>
      <c r="R168" s="32">
        <f>IF(C168="中级",2,0)</f>
        <v>0</v>
      </c>
      <c r="S168" s="32">
        <f>IF(C168="初级",1,0)</f>
        <v>0</v>
      </c>
      <c r="T168" s="32">
        <f>IF(C168="无等级",2,0)</f>
        <v>0</v>
      </c>
      <c r="U168" s="32">
        <f>IF(C168="高级",1,0)</f>
        <v>0</v>
      </c>
      <c r="V168" s="32"/>
      <c r="AK168" s="130"/>
      <c r="AL168" s="130"/>
      <c r="AM168" s="130"/>
      <c r="AN168" s="130"/>
      <c r="AO168" s="130"/>
      <c r="AP168" s="130"/>
      <c r="AQ168" s="130"/>
      <c r="AR168" s="130"/>
      <c r="AS168" s="130"/>
      <c r="AT168" s="130"/>
      <c r="AU168" s="130"/>
      <c r="AV168" s="130"/>
      <c r="AW168" s="130"/>
      <c r="AX168" s="130"/>
      <c r="AY168" s="130"/>
      <c r="AZ168" s="130"/>
      <c r="BA168" s="130"/>
      <c r="BB168" s="130"/>
      <c r="BC168" s="130"/>
      <c r="BD168" s="130"/>
      <c r="BE168" s="130"/>
      <c r="BF168" s="130"/>
      <c r="BG168" s="130"/>
      <c r="BH168" s="130"/>
    </row>
    <row r="169" ht="31" customHeight="1" spans="1:60">
      <c r="A169" s="36"/>
      <c r="B169" s="134"/>
      <c r="C169" s="143"/>
      <c r="D169" s="145"/>
      <c r="E169" s="135"/>
      <c r="F169" s="143"/>
      <c r="G169" s="144"/>
      <c r="H169" s="145"/>
      <c r="I169" s="146"/>
      <c r="J169" s="152"/>
      <c r="K169" s="147"/>
      <c r="L169" s="165" t="str">
        <f>IF(B169&lt;&gt;"",1,"")</f>
        <v/>
      </c>
      <c r="M169" s="165" t="str">
        <f>IF(B169&lt;&gt;"",SUM(Q169:T169)*L169,"")</f>
        <v/>
      </c>
      <c r="N169" s="32"/>
      <c r="O169" s="32"/>
      <c r="P169" s="32">
        <f>IF(I169="独立完成",1,IF(K169=1,0.6,IF(K169=2,0.4,IF(K169=3,0.2,IF(K169=4,0.1,IF(K169&gt;4,0.05,0))))))</f>
        <v>0</v>
      </c>
      <c r="Q169" s="32">
        <f>IF(C169="高级",3,0)</f>
        <v>0</v>
      </c>
      <c r="R169" s="32">
        <f>IF(C169="中级",2,0)</f>
        <v>0</v>
      </c>
      <c r="S169" s="32">
        <f>IF(C169="初级",1,0)</f>
        <v>0</v>
      </c>
      <c r="T169" s="32">
        <f>IF(C169="无等级",2,0)</f>
        <v>0</v>
      </c>
      <c r="U169" s="32">
        <f>IF(C169="高级",1,0)</f>
        <v>0</v>
      </c>
      <c r="V169" s="32"/>
      <c r="AK169" s="130"/>
      <c r="AL169" s="130"/>
      <c r="AM169" s="130"/>
      <c r="AN169" s="130"/>
      <c r="AO169" s="130"/>
      <c r="AP169" s="130"/>
      <c r="AQ169" s="130"/>
      <c r="AR169" s="130"/>
      <c r="AS169" s="130"/>
      <c r="AT169" s="130"/>
      <c r="AU169" s="130"/>
      <c r="AV169" s="130"/>
      <c r="AW169" s="130"/>
      <c r="AX169" s="130"/>
      <c r="AY169" s="130"/>
      <c r="AZ169" s="130"/>
      <c r="BA169" s="130"/>
      <c r="BB169" s="130"/>
      <c r="BC169" s="130"/>
      <c r="BD169" s="130"/>
      <c r="BE169" s="130"/>
      <c r="BF169" s="130"/>
      <c r="BG169" s="130"/>
      <c r="BH169" s="130"/>
    </row>
    <row r="170" ht="31" customHeight="1" spans="1:60">
      <c r="A170" s="36"/>
      <c r="B170" s="136" t="s">
        <v>55</v>
      </c>
      <c r="C170" s="137"/>
      <c r="D170" s="137"/>
      <c r="E170" s="137"/>
      <c r="F170" s="137"/>
      <c r="G170" s="137"/>
      <c r="H170" s="137"/>
      <c r="I170" s="137"/>
      <c r="J170" s="137"/>
      <c r="K170" s="137"/>
      <c r="L170" s="161"/>
      <c r="M170" s="165">
        <f>IF(M168&lt;&gt;"",SUM(M168:M169),0)</f>
        <v>0</v>
      </c>
      <c r="N170" s="169"/>
      <c r="O170" s="169"/>
      <c r="AK170" s="130"/>
      <c r="AL170" s="130"/>
      <c r="AM170" s="130"/>
      <c r="AN170" s="130"/>
      <c r="AO170" s="130"/>
      <c r="AP170" s="130"/>
      <c r="AQ170" s="130"/>
      <c r="AR170" s="130"/>
      <c r="AS170" s="130"/>
      <c r="AT170" s="130"/>
      <c r="AU170" s="130"/>
      <c r="AV170" s="130"/>
      <c r="AW170" s="130"/>
      <c r="AX170" s="130"/>
      <c r="AY170" s="130"/>
      <c r="AZ170" s="130"/>
      <c r="BA170" s="130"/>
      <c r="BB170" s="130"/>
      <c r="BC170" s="130"/>
      <c r="BD170" s="130"/>
      <c r="BE170" s="130"/>
      <c r="BF170" s="130"/>
      <c r="BG170" s="130"/>
      <c r="BH170" s="130"/>
    </row>
    <row r="171" ht="31" customHeight="1" spans="1:60">
      <c r="A171" s="36"/>
      <c r="B171" s="138" t="s">
        <v>229</v>
      </c>
      <c r="C171" s="138"/>
      <c r="D171" s="138"/>
      <c r="E171" s="138"/>
      <c r="F171" s="138"/>
      <c r="G171" s="138"/>
      <c r="H171" s="138"/>
      <c r="I171" s="138"/>
      <c r="J171" s="138"/>
      <c r="K171" s="138"/>
      <c r="L171" s="138"/>
      <c r="M171" s="138"/>
      <c r="N171" s="138"/>
      <c r="O171" s="138"/>
      <c r="AK171" s="130"/>
      <c r="AL171" s="130"/>
      <c r="AM171" s="130"/>
      <c r="AN171" s="130"/>
      <c r="AO171" s="130"/>
      <c r="AP171" s="130"/>
      <c r="AQ171" s="130"/>
      <c r="AR171" s="130"/>
      <c r="AS171" s="130"/>
      <c r="AT171" s="130"/>
      <c r="AU171" s="130"/>
      <c r="AV171" s="130"/>
      <c r="AW171" s="130"/>
      <c r="AX171" s="130"/>
      <c r="AY171" s="130"/>
      <c r="AZ171" s="130"/>
      <c r="BA171" s="130"/>
      <c r="BB171" s="130"/>
      <c r="BC171" s="130"/>
      <c r="BD171" s="130"/>
      <c r="BE171" s="130"/>
      <c r="BF171" s="130"/>
      <c r="BG171" s="130"/>
      <c r="BH171" s="130"/>
    </row>
    <row r="172" ht="31" customHeight="1" spans="1:60">
      <c r="A172" s="36"/>
      <c r="B172" s="87" t="s">
        <v>230</v>
      </c>
      <c r="C172" s="87" t="s">
        <v>86</v>
      </c>
      <c r="D172" s="193"/>
      <c r="E172" s="193"/>
      <c r="F172" s="194"/>
      <c r="G172" s="96" t="s">
        <v>231</v>
      </c>
      <c r="H172" s="195"/>
      <c r="I172" s="61" t="s">
        <v>88</v>
      </c>
      <c r="J172" s="61" t="s">
        <v>89</v>
      </c>
      <c r="K172" s="61" t="s">
        <v>100</v>
      </c>
      <c r="L172" s="61" t="s">
        <v>91</v>
      </c>
      <c r="M172" s="61" t="s">
        <v>92</v>
      </c>
      <c r="N172" s="61" t="s">
        <v>38</v>
      </c>
      <c r="O172" s="61" t="s">
        <v>39</v>
      </c>
      <c r="P172" s="32" t="s">
        <v>102</v>
      </c>
      <c r="Q172" s="163" t="s">
        <v>211</v>
      </c>
      <c r="R172" s="127" t="s">
        <v>232</v>
      </c>
      <c r="S172" s="118" t="s">
        <v>233</v>
      </c>
      <c r="T172" s="118" t="s">
        <v>234</v>
      </c>
      <c r="U172" s="118" t="s">
        <v>235</v>
      </c>
      <c r="V172" s="118" t="s">
        <v>236</v>
      </c>
      <c r="W172" s="118" t="s">
        <v>237</v>
      </c>
      <c r="AK172" s="130"/>
      <c r="AL172" s="130"/>
      <c r="AM172" s="130"/>
      <c r="AN172" s="130"/>
      <c r="AO172" s="130"/>
      <c r="AP172" s="130"/>
      <c r="AQ172" s="130"/>
      <c r="AR172" s="130"/>
      <c r="AS172" s="130"/>
      <c r="AT172" s="130"/>
      <c r="AU172" s="130"/>
      <c r="AV172" s="130"/>
      <c r="AW172" s="130"/>
      <c r="AX172" s="130"/>
      <c r="AY172" s="130"/>
      <c r="AZ172" s="130"/>
      <c r="BA172" s="130"/>
      <c r="BB172" s="130"/>
      <c r="BC172" s="130"/>
      <c r="BD172" s="130"/>
      <c r="BE172" s="130"/>
      <c r="BF172" s="130"/>
      <c r="BG172" s="130"/>
      <c r="BH172" s="130"/>
    </row>
    <row r="173" ht="31" customHeight="1" spans="1:60">
      <c r="A173" s="36"/>
      <c r="B173" s="134"/>
      <c r="C173" s="135"/>
      <c r="D173" s="135"/>
      <c r="E173" s="135"/>
      <c r="F173" s="135"/>
      <c r="G173" s="135"/>
      <c r="H173" s="135"/>
      <c r="I173" s="135"/>
      <c r="J173" s="170"/>
      <c r="K173" s="158"/>
      <c r="L173" s="165" t="str">
        <f>IF(B173&lt;&gt;"",P173,"")</f>
        <v/>
      </c>
      <c r="M173" s="165" t="str">
        <f>IF(B173&lt;&gt;"",L173*SUM(R173:U173),"")</f>
        <v/>
      </c>
      <c r="N173" s="160"/>
      <c r="O173" s="166"/>
      <c r="P173" s="32">
        <f>IF(I173="独立完成",1,IF(K173=1,0.8,IF(K173=2,0.2,IF(K173&gt;2,0.1,0))))</f>
        <v>0</v>
      </c>
      <c r="Q173" s="163">
        <f>IF(B173="外观设计专利",2,IF(B173="软件著作权登记",3,IF(B173="实用新型专利",6,IF(B173="发明专利",25,0))))</f>
        <v>0</v>
      </c>
      <c r="R173" s="32">
        <f>IF(B173="外观设计专利",2,0)</f>
        <v>0</v>
      </c>
      <c r="S173" s="32">
        <f>IF(B173="软件著作权登记",3,0)</f>
        <v>0</v>
      </c>
      <c r="T173" s="32">
        <f>IF(B173="实用新型专利",6,0)</f>
        <v>0</v>
      </c>
      <c r="U173" s="32">
        <f>IF(B173="发明专利",25,0)</f>
        <v>0</v>
      </c>
      <c r="V173" s="32">
        <f>IF(AND(B173="发明专利",OR(I173="独立完成",K173=1)),1,0)</f>
        <v>0</v>
      </c>
      <c r="W173" s="32">
        <f>IF(AND(B173="实用新型专利",OR(I173="独立完成",K173=1)),1,0)</f>
        <v>0</v>
      </c>
      <c r="AK173" s="130"/>
      <c r="AL173" s="130"/>
      <c r="AM173" s="130"/>
      <c r="AN173" s="130"/>
      <c r="AO173" s="130"/>
      <c r="AP173" s="130"/>
      <c r="AQ173" s="130"/>
      <c r="AR173" s="130"/>
      <c r="AS173" s="130"/>
      <c r="AT173" s="130"/>
      <c r="AU173" s="130"/>
      <c r="AV173" s="130"/>
      <c r="AW173" s="130"/>
      <c r="AX173" s="130"/>
      <c r="AY173" s="130"/>
      <c r="AZ173" s="130"/>
      <c r="BA173" s="130"/>
      <c r="BB173" s="130"/>
      <c r="BC173" s="130"/>
      <c r="BD173" s="130"/>
      <c r="BE173" s="130"/>
      <c r="BF173" s="130"/>
      <c r="BG173" s="130"/>
      <c r="BH173" s="130"/>
    </row>
    <row r="174" ht="31" customHeight="1" spans="1:60">
      <c r="A174" s="36"/>
      <c r="B174" s="134"/>
      <c r="C174" s="135"/>
      <c r="D174" s="135"/>
      <c r="E174" s="135"/>
      <c r="F174" s="135"/>
      <c r="G174" s="135"/>
      <c r="H174" s="135"/>
      <c r="I174" s="135"/>
      <c r="J174" s="170"/>
      <c r="K174" s="158"/>
      <c r="L174" s="165" t="str">
        <f>IF(B174&lt;&gt;"",P174,"")</f>
        <v/>
      </c>
      <c r="M174" s="165" t="str">
        <f>IF(B174&lt;&gt;"",L174*SUM(R174:U174),"")</f>
        <v/>
      </c>
      <c r="N174" s="160"/>
      <c r="O174" s="166"/>
      <c r="P174" s="32">
        <f>IF(I174="独立完成",1,IF(K174=1,0.8,IF(K174=2,0.2,IF(K174&gt;2,0.1,0))))</f>
        <v>0</v>
      </c>
      <c r="Q174" s="163">
        <f>IF(B174="外观设计专利",2,IF(B174="软件著作权登记",3,IF(B174="实用新型专利",6,IF(B174="发明专利",25,0))))</f>
        <v>0</v>
      </c>
      <c r="R174" s="32">
        <f>IF(B174="外观设计专利",2,0)</f>
        <v>0</v>
      </c>
      <c r="S174" s="32">
        <f>IF(B174="软件著作权登记",3,0)</f>
        <v>0</v>
      </c>
      <c r="T174" s="32">
        <f>IF(B174="实用新型专利",6,0)</f>
        <v>0</v>
      </c>
      <c r="U174" s="32">
        <f>IF(B174="发明专利",25,0)</f>
        <v>0</v>
      </c>
      <c r="V174" s="32">
        <f>IF(AND(B174="发明专利",OR(I174="独立完成",K174=1)),1,0)</f>
        <v>0</v>
      </c>
      <c r="W174" s="32">
        <f>IF(AND(B174="实用新型专利",OR(I174="独立完成",K174=1)),1,0)</f>
        <v>0</v>
      </c>
      <c r="AK174" s="130"/>
      <c r="AL174" s="130"/>
      <c r="AM174" s="130"/>
      <c r="AN174" s="130"/>
      <c r="AO174" s="130"/>
      <c r="AP174" s="130"/>
      <c r="AQ174" s="130"/>
      <c r="AR174" s="130"/>
      <c r="AS174" s="130"/>
      <c r="AT174" s="130"/>
      <c r="AU174" s="130"/>
      <c r="AV174" s="130"/>
      <c r="AW174" s="130"/>
      <c r="AX174" s="130"/>
      <c r="AY174" s="130"/>
      <c r="AZ174" s="130"/>
      <c r="BA174" s="130"/>
      <c r="BB174" s="130"/>
      <c r="BC174" s="130"/>
      <c r="BD174" s="130"/>
      <c r="BE174" s="130"/>
      <c r="BF174" s="130"/>
      <c r="BG174" s="130"/>
      <c r="BH174" s="130"/>
    </row>
    <row r="175" ht="31" customHeight="1" spans="1:60">
      <c r="A175" s="36"/>
      <c r="B175" s="136" t="s">
        <v>55</v>
      </c>
      <c r="C175" s="137"/>
      <c r="D175" s="137"/>
      <c r="E175" s="137"/>
      <c r="F175" s="137"/>
      <c r="G175" s="137"/>
      <c r="H175" s="137"/>
      <c r="I175" s="137"/>
      <c r="J175" s="137"/>
      <c r="K175" s="137"/>
      <c r="L175" s="161"/>
      <c r="M175" s="165">
        <f>IF(M173&lt;&gt;"",SUM(M173:M174),0)</f>
        <v>0</v>
      </c>
      <c r="N175" s="169"/>
      <c r="O175" s="169"/>
      <c r="AK175" s="130"/>
      <c r="AL175" s="130"/>
      <c r="AM175" s="130"/>
      <c r="AN175" s="130"/>
      <c r="AO175" s="130"/>
      <c r="AP175" s="130"/>
      <c r="AQ175" s="130"/>
      <c r="AR175" s="130"/>
      <c r="AS175" s="130"/>
      <c r="AT175" s="130"/>
      <c r="AU175" s="130"/>
      <c r="AV175" s="130"/>
      <c r="AW175" s="130"/>
      <c r="AX175" s="130"/>
      <c r="AY175" s="130"/>
      <c r="AZ175" s="130"/>
      <c r="BA175" s="130"/>
      <c r="BB175" s="130"/>
      <c r="BC175" s="130"/>
      <c r="BD175" s="130"/>
      <c r="BE175" s="130"/>
      <c r="BF175" s="130"/>
      <c r="BG175" s="130"/>
      <c r="BH175" s="130"/>
    </row>
    <row r="176" ht="31" customHeight="1" spans="1:60">
      <c r="A176" s="36"/>
      <c r="B176" s="77" t="s">
        <v>238</v>
      </c>
      <c r="C176" s="77"/>
      <c r="D176" s="77"/>
      <c r="E176" s="77"/>
      <c r="F176" s="77"/>
      <c r="G176" s="77"/>
      <c r="H176" s="77"/>
      <c r="I176" s="77"/>
      <c r="J176" s="77"/>
      <c r="K176" s="77"/>
      <c r="L176" s="77"/>
      <c r="M176" s="77"/>
      <c r="N176" s="77"/>
      <c r="O176" s="77"/>
      <c r="AK176" s="130"/>
      <c r="AL176" s="130"/>
      <c r="AM176" s="130"/>
      <c r="AN176" s="130"/>
      <c r="AO176" s="130"/>
      <c r="AP176" s="130"/>
      <c r="AQ176" s="130"/>
      <c r="AR176" s="130"/>
      <c r="AS176" s="130"/>
      <c r="AT176" s="130"/>
      <c r="AU176" s="130"/>
      <c r="AV176" s="130"/>
      <c r="AW176" s="130"/>
      <c r="AX176" s="130"/>
      <c r="AY176" s="130"/>
      <c r="AZ176" s="130"/>
      <c r="BA176" s="130"/>
      <c r="BB176" s="130"/>
      <c r="BC176" s="130"/>
      <c r="BD176" s="130"/>
      <c r="BE176" s="130"/>
      <c r="BF176" s="130"/>
      <c r="BG176" s="130"/>
      <c r="BH176" s="130"/>
    </row>
    <row r="177" ht="31" customHeight="1" spans="1:60">
      <c r="A177" s="36"/>
      <c r="B177" s="61" t="s">
        <v>59</v>
      </c>
      <c r="C177" s="61" t="s">
        <v>84</v>
      </c>
      <c r="D177" s="61"/>
      <c r="E177" s="61" t="s">
        <v>85</v>
      </c>
      <c r="F177" s="61" t="s">
        <v>86</v>
      </c>
      <c r="G177" s="61"/>
      <c r="H177" s="133" t="s">
        <v>87</v>
      </c>
      <c r="I177" s="133" t="s">
        <v>88</v>
      </c>
      <c r="J177" s="61" t="s">
        <v>89</v>
      </c>
      <c r="K177" s="61" t="s">
        <v>100</v>
      </c>
      <c r="L177" s="61" t="s">
        <v>91</v>
      </c>
      <c r="M177" s="61" t="s">
        <v>92</v>
      </c>
      <c r="N177" s="61" t="s">
        <v>38</v>
      </c>
      <c r="O177" s="61" t="s">
        <v>39</v>
      </c>
      <c r="P177" s="127" t="s">
        <v>239</v>
      </c>
      <c r="Q177" s="127" t="s">
        <v>240</v>
      </c>
      <c r="R177" s="127" t="s">
        <v>241</v>
      </c>
      <c r="S177" s="127" t="s">
        <v>242</v>
      </c>
      <c r="T177" s="127" t="s">
        <v>243</v>
      </c>
      <c r="U177" s="127" t="s">
        <v>244</v>
      </c>
      <c r="V177" s="127" t="s">
        <v>144</v>
      </c>
      <c r="W177" s="127" t="s">
        <v>145</v>
      </c>
      <c r="X177" s="127" t="s">
        <v>245</v>
      </c>
      <c r="Y177" s="127" t="s">
        <v>246</v>
      </c>
      <c r="Z177" s="127" t="s">
        <v>247</v>
      </c>
      <c r="AA177" s="127" t="s">
        <v>248</v>
      </c>
      <c r="AB177" s="127" t="s">
        <v>249</v>
      </c>
      <c r="AC177" s="127" t="s">
        <v>250</v>
      </c>
      <c r="AD177" s="127" t="s">
        <v>251</v>
      </c>
      <c r="AE177" s="127" t="s">
        <v>252</v>
      </c>
      <c r="AF177" s="127" t="s">
        <v>253</v>
      </c>
      <c r="AG177" s="127" t="s">
        <v>219</v>
      </c>
      <c r="AH177" s="127" t="s">
        <v>254</v>
      </c>
      <c r="AI177" s="127" t="s">
        <v>255</v>
      </c>
      <c r="AJ177" s="175" t="s">
        <v>256</v>
      </c>
      <c r="AK177" s="130"/>
      <c r="AL177" s="130"/>
      <c r="AM177" s="130"/>
      <c r="AN177" s="130"/>
      <c r="AO177" s="130"/>
      <c r="AP177" s="130"/>
      <c r="AQ177" s="130"/>
      <c r="AR177" s="130"/>
      <c r="AS177" s="130"/>
      <c r="AT177" s="130"/>
      <c r="AU177" s="130"/>
      <c r="AV177" s="130"/>
      <c r="AW177" s="130"/>
      <c r="AX177" s="130"/>
      <c r="AY177" s="130"/>
      <c r="AZ177" s="130"/>
      <c r="BA177" s="130"/>
      <c r="BB177" s="130"/>
      <c r="BC177" s="130"/>
      <c r="BD177" s="130"/>
      <c r="BE177" s="130"/>
      <c r="BF177" s="130"/>
      <c r="BG177" s="130"/>
      <c r="BH177" s="130"/>
    </row>
    <row r="178" ht="31" customHeight="1" spans="1:60">
      <c r="A178" s="36"/>
      <c r="B178" s="134" t="s">
        <v>257</v>
      </c>
      <c r="C178" s="134"/>
      <c r="D178" s="134"/>
      <c r="E178" s="134"/>
      <c r="F178" s="135"/>
      <c r="G178" s="135"/>
      <c r="H178" s="150"/>
      <c r="I178" s="135"/>
      <c r="J178" s="158"/>
      <c r="K178" s="158"/>
      <c r="L178" s="159">
        <f>IF(B178&lt;&gt;"",IF(OR(B178="文化建设项目",B178="产教融合项目"),0,IF(OR(B178="个人荣誉",C178="社团指导教师"),1,W178+X178)),"")</f>
        <v>1</v>
      </c>
      <c r="M178" s="159">
        <f>IF(B178&lt;&gt;"",(SUM(P178:V178)+SUM(Y178:AJ178))*L178,"")</f>
        <v>0</v>
      </c>
      <c r="N178" s="160"/>
      <c r="O178" s="160"/>
      <c r="P178" s="32">
        <f>IF(AND(OR(C178="品牌（示范）专业",C178="双高专业群",C178="卓越校专业群"),E178="国家级"),40,IF(AND(OR(C178="品牌（示范）专业",C178="双高专业群",C178="卓越校专业群"),E178="省级"),15,IF(AND(OR(C178="品牌（示范）专业",C178="双高专业群",C178="卓越校专业群"),E178="市级"),10,IF(AND(OR(C178="品牌（示范）专业",C178="双高专业群",C178="卓越校专业群"),E178="校级"),3,0))))</f>
        <v>0</v>
      </c>
      <c r="Q178" s="32">
        <f>IF(AND(C178="五星级专业",E178="国家级"),30,IF(AND(C178="五星级专业",E178="省级"),10,IF(AND(C178="五星级专业",E178="市级"),5,IF(AND(C178="五星级专业",E178="校级"),2,0))))</f>
        <v>0</v>
      </c>
      <c r="R178" s="32">
        <f>IF(AND(C178="四星级专业",E178="国家级"),15,IF(AND(C178="四星级专业",E178="省级"),5,IF(AND(C178="四星级专业",E178="市级"),3,IF(AND(C178="四星级专业",E178="校级"),1,0))))</f>
        <v>0</v>
      </c>
      <c r="S178" s="32">
        <f>IF(AND(OR(C178="学徒制试点",C178="1+X 证书试点考点"),E178="国家级"),30,IF(AND(OR(C178="学徒制试点",C178="1+X 证书试点考点"),E178="省级"),10,IF(AND(OR(C178="学徒制试点",C178="1+X 证书试点考点"),E178="市级"),5,IF(AND(OR(C178="学徒制试点",C178="1+X 证书试点考点"),E178="校级"),2,0))))</f>
        <v>0</v>
      </c>
      <c r="T178" s="32">
        <f>IF(AND(C178="主持资源库建设",E178="国家级"),30,IF(AND(C178="主持资源库建设",E178="省级"),15,IF(AND(C178="主持资源库建设",E178="市级"),5,IF(AND(C178="主持资源库建设",E178="校级"),3,0))))</f>
        <v>0</v>
      </c>
      <c r="U178" s="32">
        <f>IF(AND(C178="参与资源库建设",E178="国家级"),10,IF(AND(C178="参与资源库建设",E178="省级"),5,IF(AND(C178="参与资源库建设",E178="市级"),2,IF(AND(C178="参与资源库建设",E178="校级"),0,0))))</f>
        <v>0</v>
      </c>
      <c r="V178" s="32">
        <f>IF(AND(B178="课程建设",E178="国家级"),25,IF(AND(B178="课程建设",E178="省级"),10,IF(AND(B178="课程建设",E178="市级"),5,IF(AND(B178="课程建设",E178="校级"),2,0))))</f>
        <v>0</v>
      </c>
      <c r="W178" s="32">
        <f>IF(B178="课程建设",IF(I178="独立完成",1,IF(K178=1,0.7,IF(K178=2,0.3,IF(K178=3,0.1,IF(K178&gt;3,0.05))))),0)</f>
        <v>0</v>
      </c>
      <c r="X178" s="166">
        <f>IF(NOT(B178="课程建设"),IF(I178="独立完成",1,IF(K178=1,0.6,IF(AND(J178=2,K178=2),0.4,IF(AND(J178&gt;2,K178=2),0.3,IF(AND(J178&gt;2,K178=3),0.2,IF(AND(J178&gt;2,K178&gt;3),0.1,0)))))),0)</f>
        <v>0</v>
      </c>
      <c r="Y178" s="166">
        <f>IF(AND(B178="文化建设项目",E178="国家级"),40,IF(AND(B178="文化建设项目",E178="省级"),15,IF(AND(B178="文化建设项目",E178="市级"),10,IF(AND(B178="文化建设项目设",E178="校级"),3,0))))</f>
        <v>0</v>
      </c>
      <c r="Z178" s="32">
        <f>IF(AND(C178="产教融合项目",E178="国家级"),60,IF(AND(C178="产教融合项目",E178="省级"),20,IF(AND(C178="产教融合项目",E178="市级"),10,IF(AND(C178="产教融合项目",E178="校级"),0,0))))</f>
        <v>0</v>
      </c>
      <c r="AA178" s="32">
        <f>IF(AND(C178="辅导员名师",E178="国家级"),35,IF(AND(C178="辅导员名师",E178="省级"),15,IF(AND(C178="辅导员名师",E178="市级"),10,IF(AND(C178="辅导员名师",E178="校级"),5,0))))</f>
        <v>0</v>
      </c>
      <c r="AB178" s="32">
        <f>IF(AND(C178="教学名师",E178="国家级"),40,IF(AND(C178="教学名师",E178="省级"),15,IF(AND(C178="教学名师",E178="市级"),10,IF(AND(C178="教学名师",E178="校级"),5,0))))</f>
        <v>0</v>
      </c>
      <c r="AC178" s="32">
        <f>IF(AND(OR(C178="专业带头人",C178="学术带头人"),E178="国家级"),35,IF(AND(OR(C178="专业带头人",C178="学术带头人"),E178="省级"),15,IF(AND(OR(C178="专业带头人",C178="学术带头人"),E178="市级"),10,IF(AND(OR(C178="专业带头人",C178="学术带头人"),E178="校级"),5,0))))</f>
        <v>0</v>
      </c>
      <c r="AD178" s="32">
        <f>IF(AND(OR(C178="骨干教师",C178="科研骨干"),E178="国家级"),25,IF(AND(OR(C178="骨干教师",C178="科研骨干"),E178="省级"),10,IF(AND(OR(C178="骨干教师",C178="科研骨干"),E178="市级"),7,IF(AND(OR(C178="骨干教师",C178="科研骨干"),E178="校级"),5,0))))</f>
        <v>0</v>
      </c>
      <c r="AE178" s="32">
        <f>IF(AND(C178="学生团体荣誉",E178="国家级"),25,IF(AND(C178="学生团体荣誉",E178="省级"),10,IF(AND(C178="学生团体荣誉",E178="市级"),5,IF(AND(C178="学生团体荣誉",E178="校级"),3,0))))</f>
        <v>0</v>
      </c>
      <c r="AF178" s="32">
        <f>IF(AND(C178="技能大师",E178="国家级"),35,IF(AND(C178="技能大师",E178="省级"),15,IF(AND(C178="技能大师",E178="市级"),10,IF(AND(C178="技能大师",E178="校级"),5,0))))</f>
        <v>0</v>
      </c>
      <c r="AG178" s="32">
        <f>IF(AND(C178="社团指导教师",E178="国家级"),0,IF(AND(C178="教社团指导教师",E178="省级"),0,IF(AND(C178="社团指导教师",E178="市级"),0,IF(AND(C178="社团指导教师",E178="校级"),3,0))))</f>
        <v>0</v>
      </c>
      <c r="AH178" s="166">
        <f>IF(AND(OR(C178="党组织荣誉",C178="其他团体荣誉"),E178="国家级"),20,IF(AND(OR(C178="党组织荣誉",C178="其他团体荣誉"),E178="省级"),8,IF(AND(OR(C178="党组织荣誉",C178="其他团体荣誉"),E178="市级"),5,IF(AND(OR(C178="党组织荣誉",C178="其他团体荣誉"),E178="校级"),3,0))))</f>
        <v>0</v>
      </c>
      <c r="AI178" s="166">
        <f>IF(AND(C178="教师党支部书记",E178="国家级"),0,IF(AND(C178="教师党支部书记",E178="省级"),0,IF(AND(C178="教师党支部书记",E178="市级"),0,IF(AND(C178="教师党支部书记",E178="校级"),3,0))))</f>
        <v>0</v>
      </c>
      <c r="AJ178" s="187">
        <f>IF(AND(OR(C178="党务工作项目荣誉",C178="其他工作项目荣誉"),E178="国家级"),20,IF(AND(OR(C178="党务工作项目荣誉",C178="其他工作项目荣誉"),E178="省级"),8,IF(AND(OR(C178="党务工作项目荣誉",C178="其他工作项目荣誉"),E178="市级"),5,IF(AND(OR(C178="党务工作项目荣誉",C178="其他工作项目荣誉"),E178="校级"),3,0))))</f>
        <v>0</v>
      </c>
      <c r="AK178" s="130"/>
      <c r="AL178" s="130"/>
      <c r="AM178" s="130"/>
      <c r="AN178" s="130"/>
      <c r="AO178" s="130"/>
      <c r="AP178" s="130"/>
      <c r="AQ178" s="130"/>
      <c r="AR178" s="130"/>
      <c r="AS178" s="130"/>
      <c r="AT178" s="130"/>
      <c r="AU178" s="130"/>
      <c r="AV178" s="130"/>
      <c r="AW178" s="130"/>
      <c r="AX178" s="130"/>
      <c r="AY178" s="130"/>
      <c r="AZ178" s="130"/>
      <c r="BA178" s="130"/>
      <c r="BB178" s="130"/>
      <c r="BC178" s="130"/>
      <c r="BD178" s="130"/>
      <c r="BE178" s="130"/>
      <c r="BF178" s="130"/>
      <c r="BG178" s="130"/>
      <c r="BH178" s="130"/>
    </row>
    <row r="179" ht="31" customHeight="1" spans="1:60">
      <c r="A179" s="36"/>
      <c r="B179" s="134" t="s">
        <v>258</v>
      </c>
      <c r="C179" s="134"/>
      <c r="D179" s="134"/>
      <c r="E179" s="134"/>
      <c r="F179" s="135"/>
      <c r="G179" s="135"/>
      <c r="H179" s="150"/>
      <c r="I179" s="135"/>
      <c r="J179" s="158"/>
      <c r="K179" s="158"/>
      <c r="L179" s="159">
        <f>IF(B179&lt;&gt;"",IF(OR(B179="文化建设项目",B179="产教融合项目"),0,IF(OR(B179="个人荣誉",C179="社团指导教师"),1,W179+X179)),"")</f>
        <v>0</v>
      </c>
      <c r="M179" s="159">
        <f>IF(B179&lt;&gt;"",(SUM(P179:V179)+SUM(Y179:AJ179))*L179,"")</f>
        <v>0</v>
      </c>
      <c r="N179" s="160"/>
      <c r="O179" s="160"/>
      <c r="P179" s="32">
        <f>IF(AND(OR(C179="品牌（示范）专业",C179="双高专业群",C179="卓越校专业群"),E179="国家级"),40,IF(AND(OR(C179="品牌（示范）专业",C179="双高专业群",C179="卓越校专业群"),E179="省级"),15,IF(AND(OR(C179="品牌（示范）专业",C179="双高专业群",C179="卓越校专业群"),E179="市级"),10,IF(AND(OR(C179="品牌（示范）专业",C179="双高专业群",C179="卓越校专业群"),E179="校级"),3,0))))</f>
        <v>0</v>
      </c>
      <c r="Q179" s="32">
        <f>IF(AND(C179="五星级专业",E179="国家级"),30,IF(AND(C179="五星级专业",E179="省级"),10,IF(AND(C179="五星级专业",E179="市级"),5,IF(AND(C179="五星级专业",E179="校级"),2,0))))</f>
        <v>0</v>
      </c>
      <c r="R179" s="32">
        <f>IF(AND(C179="四星级专业",E179="国家级"),15,IF(AND(C179="四星级专业",E179="省级"),5,IF(AND(C179="四星级专业",E179="市级"),3,IF(AND(C179="四星级专业",E179="校级"),1,0))))</f>
        <v>0</v>
      </c>
      <c r="S179" s="32">
        <f>IF(AND(OR(C179="学徒制试点",C179="1+X 证书试点考点"),E179="国家级"),30,IF(AND(OR(C179="学徒制试点",C179="1+X 证书试点考点"),E179="省级"),10,IF(AND(OR(C179="学徒制试点",C179="1+X 证书试点考点"),E179="市级"),5,IF(AND(OR(C179="学徒制试点",C179="1+X 证书试点考点"),E179="校级"),2,0))))</f>
        <v>0</v>
      </c>
      <c r="T179" s="32">
        <f>IF(AND(C179="主持资源库建设",E179="国家级"),30,IF(AND(C179="主持资源库建设",E179="省级"),15,IF(AND(C179="主持资源库建设",E179="市级"),5,IF(AND(C179="主持资源库建设",E179="校级"),3,0))))</f>
        <v>0</v>
      </c>
      <c r="U179" s="32">
        <f>IF(AND(C179="参与资源库建设",E179="国家级"),10,IF(AND(C179="参与资源库建设",E179="省级"),5,IF(AND(C179="参与资源库建设",E179="市级"),2,IF(AND(C179="参与资源库建设",E179="校级"),0,0))))</f>
        <v>0</v>
      </c>
      <c r="V179" s="32">
        <f>IF(AND(B179="课程建设",E179="国家级"),25,IF(AND(B179="课程建设",E179="省级"),10,IF(AND(B179="课程建设",E179="市级"),5,IF(AND(B179="课程建设",E179="校级"),2,0))))</f>
        <v>0</v>
      </c>
      <c r="W179" s="32">
        <f>IF(B179="课程建设",IF(I179="独立完成",1,IF(K179=1,0.7,IF(K179=2,0.3,IF(K179=3,0.1,IF(K179&gt;3,0.05))))),0)</f>
        <v>0</v>
      </c>
      <c r="X179" s="166">
        <f>IF(NOT(B179="课程建设"),IF(I179="独立完成",1,IF(K179=1,0.6,IF(AND(J179=2,K179=2),0.4,IF(AND(J179&gt;2,K179=2),0.3,IF(AND(J179&gt;2,K179=3),0.2,IF(AND(J179&gt;2,K179&gt;3),0.1,0)))))),0)</f>
        <v>0</v>
      </c>
      <c r="Y179" s="166">
        <f>IF(AND(B179="文化建设项目",E179="国家级"),40,IF(AND(B179="文化建设项目",E179="省级"),15,IF(AND(B179="文化建设项目",E179="市级"),10,IF(AND(B179="文化建设项目设",E179="校级"),3,0))))</f>
        <v>0</v>
      </c>
      <c r="Z179" s="32">
        <f>IF(AND(C179="产教融合项目",E179="国家级"),60,IF(AND(C179="产教融合项目",E179="省级"),20,IF(AND(C179="产教融合项目",E179="市级"),10,IF(AND(C179="产教融合项目",E179="校级"),0,0))))</f>
        <v>0</v>
      </c>
      <c r="AA179" s="32">
        <f>IF(AND(C179="辅导员名师",E179="国家级"),35,IF(AND(C179="辅导员名师",E179="省级"),15,IF(AND(C179="辅导员名师",E179="市级"),10,IF(AND(C179="辅导员名师",E179="校级"),5,0))))</f>
        <v>0</v>
      </c>
      <c r="AB179" s="32">
        <f>IF(AND(C179="教学名师",E179="国家级"),40,IF(AND(C179="教学名师",E179="省级"),15,IF(AND(C179="教学名师",E179="市级"),10,IF(AND(C179="教学名师",E179="校级"),5,0))))</f>
        <v>0</v>
      </c>
      <c r="AC179" s="32">
        <f>IF(AND(OR(C179="专业带头人",C179="学术带头人"),E179="国家级"),35,IF(AND(OR(C179="专业带头人",C179="学术带头人"),E179="省级"),15,IF(AND(OR(C179="专业带头人",C179="学术带头人"),E179="市级"),10,IF(AND(OR(C179="专业带头人",C179="学术带头人"),E179="校级"),5,0))))</f>
        <v>0</v>
      </c>
      <c r="AD179" s="32">
        <f>IF(AND(OR(C179="骨干教师",C179="科研骨干"),E179="国家级"),25,IF(AND(OR(C179="骨干教师",C179="科研骨干"),E179="省级"),10,IF(AND(OR(C179="骨干教师",C179="科研骨干"),E179="市级"),7,IF(AND(OR(C179="骨干教师",C179="科研骨干"),E179="校级"),5,0))))</f>
        <v>0</v>
      </c>
      <c r="AE179" s="32">
        <f>IF(AND(C179="学生团体荣誉",E179="国家级"),25,IF(AND(C179="学生团体荣誉",E179="省级"),10,IF(AND(C179="学生团体荣誉",E179="市级"),5,IF(AND(C179="学生团体荣誉",E179="校级"),3,0))))</f>
        <v>0</v>
      </c>
      <c r="AF179" s="32">
        <f>IF(AND(C179="技能大师",E179="国家级"),35,IF(AND(C179="技能大师",E179="省级"),15,IF(AND(C179="技能大师",E179="市级"),10,IF(AND(C179="技能大师",E179="校级"),5,0))))</f>
        <v>0</v>
      </c>
      <c r="AG179" s="32">
        <f>IF(AND(C179="社团指导教师",E179="国家级"),0,IF(AND(C179="教社团指导教师",E179="省级"),0,IF(AND(C179="社团指导教师",E179="市级"),0,IF(AND(C179="社团指导教师",E179="校级"),3,0))))</f>
        <v>0</v>
      </c>
      <c r="AH179" s="166">
        <f>IF(AND(OR(C179="党组织荣誉",C179="其他团体荣誉"),E179="国家级"),20,IF(AND(OR(C179="党组织荣誉",C179="其他团体荣誉"),E179="省级"),8,IF(AND(OR(C179="党组织荣誉",C179="其他团体荣誉"),E179="市级"),5,IF(AND(OR(C179="党组织荣誉",C179="其他团体荣誉"),E179="校级"),3,0))))</f>
        <v>0</v>
      </c>
      <c r="AI179" s="166">
        <f>IF(AND(C179="教师党支部书记",E179="国家级"),0,IF(AND(C179="教师党支部书记",E179="省级"),0,IF(AND(C179="教师党支部书记",E179="市级"),0,IF(AND(C179="教师党支部书记",E179="校级"),3,0))))</f>
        <v>0</v>
      </c>
      <c r="AJ179" s="187">
        <f>IF(AND(OR(C179="党务工作项目荣誉",C179="其他工作项目荣誉"),E179="国家级"),20,IF(AND(OR(C179="党务工作项目荣誉",C179="其他工作项目荣誉"),E179="省级"),8,IF(AND(OR(C179="党务工作项目荣誉",C179="其他工作项目荣誉"),E179="市级"),5,IF(AND(OR(C179="党务工作项目荣誉",C179="其他工作项目荣誉"),E179="校级"),3,0))))</f>
        <v>0</v>
      </c>
      <c r="AK179" s="130"/>
      <c r="AL179" s="130"/>
      <c r="AM179" s="130"/>
      <c r="AN179" s="130"/>
      <c r="AO179" s="130"/>
      <c r="AP179" s="130"/>
      <c r="AQ179" s="130"/>
      <c r="AR179" s="130"/>
      <c r="AS179" s="130"/>
      <c r="AT179" s="130"/>
      <c r="AU179" s="130"/>
      <c r="AV179" s="130"/>
      <c r="AW179" s="130"/>
      <c r="AX179" s="130"/>
      <c r="AY179" s="130"/>
      <c r="AZ179" s="130"/>
      <c r="BA179" s="130"/>
      <c r="BB179" s="130"/>
      <c r="BC179" s="130"/>
      <c r="BD179" s="130"/>
      <c r="BE179" s="130"/>
      <c r="BF179" s="130"/>
      <c r="BG179" s="130"/>
      <c r="BH179" s="130"/>
    </row>
    <row r="180" ht="31" customHeight="1" spans="1:60">
      <c r="A180" s="36"/>
      <c r="B180" s="134" t="s">
        <v>259</v>
      </c>
      <c r="C180" s="134"/>
      <c r="D180" s="134"/>
      <c r="E180" s="134"/>
      <c r="F180" s="135"/>
      <c r="G180" s="135"/>
      <c r="H180" s="150"/>
      <c r="I180" s="135"/>
      <c r="J180" s="158"/>
      <c r="K180" s="158"/>
      <c r="L180" s="159">
        <f>IF(B180&lt;&gt;"",IF(OR(B180="文化建设项目",B180="产教融合项目"),0,IF(OR(B180="个人荣誉",C180="社团指导教师"),1,W180+X180)),"")</f>
        <v>0</v>
      </c>
      <c r="M180" s="159">
        <f>IF(B180&lt;&gt;"",(SUM(P180:V180)+SUM(Y180:AJ180))*L180,"")</f>
        <v>0</v>
      </c>
      <c r="N180" s="160"/>
      <c r="O180" s="160"/>
      <c r="P180" s="32">
        <f>IF(AND(OR(C180="品牌（示范）专业",C180="双高专业群",C180="卓越校专业群"),E180="国家级"),40,IF(AND(OR(C180="品牌（示范）专业",C180="双高专业群",C180="卓越校专业群"),E180="省级"),15,IF(AND(OR(C180="品牌（示范）专业",C180="双高专业群",C180="卓越校专业群"),E180="市级"),10,IF(AND(OR(C180="品牌（示范）专业",C180="双高专业群",C180="卓越校专业群"),E180="校级"),3,0))))</f>
        <v>0</v>
      </c>
      <c r="Q180" s="32">
        <f>IF(AND(C180="五星级专业",E180="国家级"),30,IF(AND(C180="五星级专业",E180="省级"),10,IF(AND(C180="五星级专业",E180="市级"),5,IF(AND(C180="五星级专业",E180="校级"),2,0))))</f>
        <v>0</v>
      </c>
      <c r="R180" s="32">
        <f>IF(AND(C180="四星级专业",E180="国家级"),15,IF(AND(C180="四星级专业",E180="省级"),5,IF(AND(C180="四星级专业",E180="市级"),3,IF(AND(C180="四星级专业",E180="校级"),1,0))))</f>
        <v>0</v>
      </c>
      <c r="S180" s="32">
        <f>IF(AND(OR(C180="学徒制试点",C180="1+X 证书试点考点"),E180="国家级"),30,IF(AND(OR(C180="学徒制试点",C180="1+X 证书试点考点"),E180="省级"),10,IF(AND(OR(C180="学徒制试点",C180="1+X 证书试点考点"),E180="市级"),5,IF(AND(OR(C180="学徒制试点",C180="1+X 证书试点考点"),E180="校级"),2,0))))</f>
        <v>0</v>
      </c>
      <c r="T180" s="32">
        <f>IF(AND(C180="主持资源库建设",E180="国家级"),30,IF(AND(C180="主持资源库建设",E180="省级"),15,IF(AND(C180="主持资源库建设",E180="市级"),5,IF(AND(C180="主持资源库建设",E180="校级"),3,0))))</f>
        <v>0</v>
      </c>
      <c r="U180" s="32">
        <f>IF(AND(C180="参与资源库建设",E180="国家级"),10,IF(AND(C180="参与资源库建设",E180="省级"),5,IF(AND(C180="参与资源库建设",E180="市级"),2,IF(AND(C180="参与资源库建设",E180="校级"),0,0))))</f>
        <v>0</v>
      </c>
      <c r="V180" s="32">
        <f>IF(AND(B180="课程建设",E180="国家级"),25,IF(AND(B180="课程建设",E180="省级"),10,IF(AND(B180="课程建设",E180="市级"),5,IF(AND(B180="课程建设",E180="校级"),2,0))))</f>
        <v>0</v>
      </c>
      <c r="W180" s="32">
        <f>IF(B180="课程建设",IF(I180="独立完成",1,IF(K180=1,0.7,IF(K180=2,0.3,IF(K180=3,0.1,IF(K180&gt;3,0.05))))),0)</f>
        <v>0</v>
      </c>
      <c r="X180" s="166">
        <f>IF(NOT(B180="课程建设"),IF(I180="独立完成",1,IF(K180=1,0.6,IF(AND(J180=2,K180=2),0.4,IF(AND(J180&gt;2,K180=2),0.3,IF(AND(J180&gt;2,K180=3),0.2,IF(AND(J180&gt;2,K180&gt;3),0.1,0)))))),0)</f>
        <v>0</v>
      </c>
      <c r="Y180" s="166">
        <f>IF(AND(B180="文化建设项目",E180="国家级"),40,IF(AND(B180="文化建设项目",E180="省级"),15,IF(AND(B180="文化建设项目",E180="市级"),10,IF(AND(B180="文化建设项目设",E180="校级"),3,0))))</f>
        <v>0</v>
      </c>
      <c r="Z180" s="32">
        <f>IF(AND(C180="产教融合项目",E180="国家级"),60,IF(AND(C180="产教融合项目",E180="省级"),20,IF(AND(C180="产教融合项目",E180="市级"),10,IF(AND(C180="产教融合项目",E180="校级"),0,0))))</f>
        <v>0</v>
      </c>
      <c r="AA180" s="32">
        <f>IF(AND(C180="辅导员名师",E180="国家级"),35,IF(AND(C180="辅导员名师",E180="省级"),15,IF(AND(C180="辅导员名师",E180="市级"),10,IF(AND(C180="辅导员名师",E180="校级"),5,0))))</f>
        <v>0</v>
      </c>
      <c r="AB180" s="32">
        <f>IF(AND(C180="教学名师",E180="国家级"),40,IF(AND(C180="教学名师",E180="省级"),15,IF(AND(C180="教学名师",E180="市级"),10,IF(AND(C180="教学名师",E180="校级"),5,0))))</f>
        <v>0</v>
      </c>
      <c r="AC180" s="32">
        <f>IF(AND(OR(C180="专业带头人",C180="学术带头人"),E180="国家级"),35,IF(AND(OR(C180="专业带头人",C180="学术带头人"),E180="省级"),15,IF(AND(OR(C180="专业带头人",C180="学术带头人"),E180="市级"),10,IF(AND(OR(C180="专业带头人",C180="学术带头人"),E180="校级"),5,0))))</f>
        <v>0</v>
      </c>
      <c r="AD180" s="32">
        <f>IF(AND(OR(C180="骨干教师",C180="科研骨干"),E180="国家级"),25,IF(AND(OR(C180="骨干教师",C180="科研骨干"),E180="省级"),10,IF(AND(OR(C180="骨干教师",C180="科研骨干"),E180="市级"),7,IF(AND(OR(C180="骨干教师",C180="科研骨干"),E180="校级"),5,0))))</f>
        <v>0</v>
      </c>
      <c r="AE180" s="32">
        <f>IF(AND(C180="学生团体荣誉",E180="国家级"),25,IF(AND(C180="学生团体荣誉",E180="省级"),10,IF(AND(C180="学生团体荣誉",E180="市级"),5,IF(AND(C180="学生团体荣誉",E180="校级"),3,0))))</f>
        <v>0</v>
      </c>
      <c r="AF180" s="32">
        <f>IF(AND(C180="技能大师",E180="国家级"),35,IF(AND(C180="技能大师",E180="省级"),15,IF(AND(C180="技能大师",E180="市级"),10,IF(AND(C180="技能大师",E180="校级"),5,0))))</f>
        <v>0</v>
      </c>
      <c r="AG180" s="32">
        <f>IF(AND(C180="社团指导教师",E180="国家级"),0,IF(AND(C180="教社团指导教师",E180="省级"),0,IF(AND(C180="社团指导教师",E180="市级"),0,IF(AND(C180="社团指导教师",E180="校级"),3,0))))</f>
        <v>0</v>
      </c>
      <c r="AH180" s="166">
        <f>IF(AND(OR(C180="党组织荣誉",C180="其他团体荣誉"),E180="国家级"),20,IF(AND(OR(C180="党组织荣誉",C180="其他团体荣誉"),E180="省级"),8,IF(AND(OR(C180="党组织荣誉",C180="其他团体荣誉"),E180="市级"),5,IF(AND(OR(C180="党组织荣誉",C180="其他团体荣誉"),E180="校级"),3,0))))</f>
        <v>0</v>
      </c>
      <c r="AI180" s="166">
        <f>IF(AND(C180="教师党支部书记",E180="国家级"),0,IF(AND(C180="教师党支部书记",E180="省级"),0,IF(AND(C180="教师党支部书记",E180="市级"),0,IF(AND(C180="教师党支部书记",E180="校级"),3,0))))</f>
        <v>0</v>
      </c>
      <c r="AJ180" s="187">
        <f>IF(AND(OR(C180="党务工作项目荣誉",C180="其他工作项目荣誉"),E180="国家级"),20,IF(AND(OR(C180="党务工作项目荣誉",C180="其他工作项目荣誉"),E180="省级"),8,IF(AND(OR(C180="党务工作项目荣誉",C180="其他工作项目荣誉"),E180="市级"),5,IF(AND(OR(C180="党务工作项目荣誉",C180="其他工作项目荣誉"),E180="校级"),3,0))))</f>
        <v>0</v>
      </c>
      <c r="AK180" s="130"/>
      <c r="AL180" s="130"/>
      <c r="AM180" s="130"/>
      <c r="AN180" s="130"/>
      <c r="AO180" s="130"/>
      <c r="AP180" s="130"/>
      <c r="AQ180" s="130"/>
      <c r="AR180" s="130"/>
      <c r="AS180" s="130"/>
      <c r="AT180" s="130"/>
      <c r="AU180" s="130"/>
      <c r="AV180" s="130"/>
      <c r="AW180" s="130"/>
      <c r="AX180" s="130"/>
      <c r="AY180" s="130"/>
      <c r="AZ180" s="130"/>
      <c r="BA180" s="130"/>
      <c r="BB180" s="130"/>
      <c r="BC180" s="130"/>
      <c r="BD180" s="130"/>
      <c r="BE180" s="130"/>
      <c r="BF180" s="130"/>
      <c r="BG180" s="130"/>
      <c r="BH180" s="130"/>
    </row>
    <row r="181" ht="31" customHeight="1" spans="1:60">
      <c r="A181" s="36"/>
      <c r="B181" s="136" t="s">
        <v>55</v>
      </c>
      <c r="C181" s="137"/>
      <c r="D181" s="137"/>
      <c r="E181" s="137"/>
      <c r="F181" s="137"/>
      <c r="G181" s="137"/>
      <c r="H181" s="137"/>
      <c r="I181" s="137"/>
      <c r="J181" s="137"/>
      <c r="K181" s="137"/>
      <c r="L181" s="161"/>
      <c r="M181" s="159">
        <f>IF(M178&lt;&gt;"",SUM(M178:M180),0)</f>
        <v>0</v>
      </c>
      <c r="N181" s="162"/>
      <c r="O181" s="162"/>
      <c r="AK181" s="130"/>
      <c r="AL181" s="130"/>
      <c r="AM181" s="130"/>
      <c r="AN181" s="130"/>
      <c r="AO181" s="130"/>
      <c r="AP181" s="130"/>
      <c r="AQ181" s="130"/>
      <c r="AR181" s="130"/>
      <c r="AS181" s="130"/>
      <c r="AT181" s="130"/>
      <c r="AU181" s="130"/>
      <c r="AV181" s="130"/>
      <c r="AW181" s="130"/>
      <c r="AX181" s="130"/>
      <c r="AY181" s="130"/>
      <c r="AZ181" s="130"/>
      <c r="BA181" s="130"/>
      <c r="BB181" s="130"/>
      <c r="BC181" s="130"/>
      <c r="BD181" s="130"/>
      <c r="BE181" s="130"/>
      <c r="BF181" s="130"/>
      <c r="BG181" s="130"/>
      <c r="BH181" s="130"/>
    </row>
    <row r="182" ht="15" customHeight="1" spans="1:60">
      <c r="A182" s="36"/>
      <c r="B182" s="57"/>
      <c r="C182" s="58"/>
      <c r="D182" s="58"/>
      <c r="E182" s="57"/>
      <c r="F182" s="59"/>
      <c r="G182" s="57"/>
      <c r="H182" s="60"/>
      <c r="I182" s="60"/>
      <c r="J182" s="109"/>
      <c r="K182" s="110"/>
      <c r="L182" s="110"/>
      <c r="M182" s="111"/>
      <c r="N182" s="111"/>
      <c r="O182" s="102"/>
      <c r="P182" s="99"/>
      <c r="AK182" s="130"/>
      <c r="AL182" s="130"/>
      <c r="AM182" s="130"/>
      <c r="AN182" s="130"/>
      <c r="AO182" s="130"/>
      <c r="AP182" s="130"/>
      <c r="AQ182" s="130"/>
      <c r="AR182" s="130"/>
      <c r="AS182" s="130"/>
      <c r="AT182" s="130"/>
      <c r="AU182" s="130"/>
      <c r="AV182" s="130"/>
      <c r="AW182" s="130"/>
      <c r="AX182" s="130"/>
      <c r="AY182" s="130"/>
      <c r="AZ182" s="130"/>
      <c r="BA182" s="130"/>
      <c r="BB182" s="130"/>
      <c r="BC182" s="130"/>
      <c r="BD182" s="130"/>
      <c r="BE182" s="130"/>
      <c r="BF182" s="130"/>
      <c r="BG182" s="130"/>
      <c r="BH182" s="130"/>
    </row>
    <row r="183" ht="27" customHeight="1" spans="1:60">
      <c r="A183" s="36"/>
      <c r="B183" s="77" t="s">
        <v>260</v>
      </c>
      <c r="C183" s="77"/>
      <c r="D183" s="77"/>
      <c r="E183" s="77"/>
      <c r="F183" s="77"/>
      <c r="G183" s="77"/>
      <c r="H183" s="77"/>
      <c r="I183" s="77"/>
      <c r="J183" s="77"/>
      <c r="K183" s="77"/>
      <c r="L183" s="77"/>
      <c r="M183" s="77"/>
      <c r="N183" s="77"/>
      <c r="O183" s="77"/>
      <c r="AK183" s="130"/>
      <c r="AL183" s="130"/>
      <c r="AM183" s="130"/>
      <c r="AN183" s="130"/>
      <c r="AO183" s="130"/>
      <c r="AP183" s="130"/>
      <c r="AQ183" s="130"/>
      <c r="AR183" s="130"/>
      <c r="AS183" s="130"/>
      <c r="AT183" s="130"/>
      <c r="AU183" s="130"/>
      <c r="AV183" s="130"/>
      <c r="AW183" s="130"/>
      <c r="AX183" s="130"/>
      <c r="AY183" s="130"/>
      <c r="AZ183" s="130"/>
      <c r="BA183" s="130"/>
      <c r="BB183" s="130"/>
      <c r="BC183" s="130"/>
      <c r="BD183" s="130"/>
      <c r="BE183" s="130"/>
      <c r="BF183" s="130"/>
      <c r="BG183" s="130"/>
      <c r="BH183" s="130"/>
    </row>
    <row r="184" ht="27" customHeight="1" spans="1:60">
      <c r="A184" s="36"/>
      <c r="B184" s="196" t="s">
        <v>261</v>
      </c>
      <c r="C184" s="197" t="s">
        <v>262</v>
      </c>
      <c r="D184" s="198"/>
      <c r="E184" s="199"/>
      <c r="F184" s="200" t="s">
        <v>263</v>
      </c>
      <c r="G184" s="201"/>
      <c r="H184" s="202" t="s">
        <v>264</v>
      </c>
      <c r="I184" s="202"/>
      <c r="J184" s="202"/>
      <c r="K184" s="224" t="s">
        <v>263</v>
      </c>
      <c r="L184" s="225"/>
      <c r="M184" s="226"/>
      <c r="N184" s="227" t="s">
        <v>265</v>
      </c>
      <c r="O184" s="228"/>
      <c r="AK184" s="130"/>
      <c r="AL184" s="130"/>
      <c r="AM184" s="130"/>
      <c r="AN184" s="130"/>
      <c r="AO184" s="130"/>
      <c r="AP184" s="130"/>
      <c r="AQ184" s="130"/>
      <c r="AR184" s="130"/>
      <c r="AS184" s="130"/>
      <c r="AT184" s="130"/>
      <c r="AU184" s="130"/>
      <c r="AV184" s="130"/>
      <c r="AW184" s="130"/>
      <c r="AX184" s="130"/>
      <c r="AY184" s="130"/>
      <c r="AZ184" s="130"/>
      <c r="BA184" s="130"/>
      <c r="BB184" s="130"/>
      <c r="BC184" s="130"/>
      <c r="BD184" s="130"/>
      <c r="BE184" s="130"/>
      <c r="BF184" s="130"/>
      <c r="BG184" s="130"/>
      <c r="BH184" s="130"/>
    </row>
    <row r="185" ht="27" customHeight="1" spans="1:60">
      <c r="A185" s="36"/>
      <c r="B185" s="203"/>
      <c r="C185" s="204">
        <f>IF(D26&lt;&gt;"",IF(D26="学士",2,IF(D26="硕士",3,IF(D26="博士",5,IF(D26="无学位（本科毕业）",1,0)))),0)</f>
        <v>0</v>
      </c>
      <c r="D185" s="205"/>
      <c r="E185" s="206"/>
      <c r="F185" s="204" t="str">
        <f ca="1">IF(C185&lt;&gt;"",P27,"")</f>
        <v>不满足</v>
      </c>
      <c r="G185" s="206"/>
      <c r="H185" s="207">
        <f ca="1">IF(N28&lt;&gt;"",N28*1,0)</f>
        <v>0</v>
      </c>
      <c r="I185" s="207"/>
      <c r="J185" s="207"/>
      <c r="K185" s="207" t="str">
        <f ca="1">IF(H185&lt;&gt;"",Q27,"")</f>
        <v>不满足</v>
      </c>
      <c r="L185" s="207"/>
      <c r="M185" s="207"/>
      <c r="N185" s="227">
        <f ca="1">C185+H185</f>
        <v>0</v>
      </c>
      <c r="O185" s="228"/>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row>
    <row r="186" ht="27" customHeight="1" spans="1:60">
      <c r="A186" s="36"/>
      <c r="B186" s="208" t="s">
        <v>266</v>
      </c>
      <c r="C186" s="209" t="s">
        <v>267</v>
      </c>
      <c r="D186" s="210"/>
      <c r="E186" s="211" t="s">
        <v>268</v>
      </c>
      <c r="F186" s="209" t="s">
        <v>269</v>
      </c>
      <c r="G186" s="212"/>
      <c r="H186" s="212"/>
      <c r="I186" s="210"/>
      <c r="J186" s="209" t="s">
        <v>270</v>
      </c>
      <c r="K186" s="210"/>
      <c r="L186" s="229" t="s">
        <v>271</v>
      </c>
      <c r="M186" s="229"/>
      <c r="N186" s="230" t="s">
        <v>74</v>
      </c>
      <c r="O186" s="231"/>
      <c r="AK186" s="130"/>
      <c r="AL186" s="130"/>
      <c r="AM186" s="130"/>
      <c r="AN186" s="130"/>
      <c r="AO186" s="130"/>
      <c r="AP186" s="130"/>
      <c r="AQ186" s="130"/>
      <c r="AR186" s="130"/>
      <c r="AS186" s="130"/>
      <c r="AT186" s="130"/>
      <c r="AU186" s="130"/>
      <c r="AV186" s="130"/>
      <c r="AW186" s="130"/>
      <c r="AX186" s="130"/>
      <c r="AY186" s="130"/>
      <c r="AZ186" s="130"/>
      <c r="BA186" s="130"/>
      <c r="BB186" s="130"/>
      <c r="BC186" s="130"/>
      <c r="BD186" s="130"/>
      <c r="BE186" s="130"/>
      <c r="BF186" s="130"/>
      <c r="BG186" s="130"/>
      <c r="BH186" s="130"/>
    </row>
    <row r="187" ht="27" customHeight="1" spans="1:60">
      <c r="A187" s="36"/>
      <c r="B187" s="213"/>
      <c r="C187" s="204">
        <f>IF(SUM(P32:S32)&gt;0,P32,0)</f>
        <v>0</v>
      </c>
      <c r="D187" s="206"/>
      <c r="E187" s="207" t="str">
        <f>IF(OR(SUM(P32:R32)&lt;6,S32&gt;0),"不满足","满足")</f>
        <v>不满足</v>
      </c>
      <c r="F187" s="204" t="str">
        <f>IF(C34&lt;&gt;"",IF(P34&gt;0,"满足","不满足"),"不满足")</f>
        <v>不满足</v>
      </c>
      <c r="G187" s="205"/>
      <c r="H187" s="205"/>
      <c r="I187" s="206"/>
      <c r="J187" s="204">
        <f>IF(P38&lt;&gt;"",IF(P38&gt;5,5,IF(P38&lt;=0,0,P38)),0)</f>
        <v>0</v>
      </c>
      <c r="K187" s="206"/>
      <c r="L187" s="232" t="str">
        <f>IF(K29&lt;&gt;"",Q38,"不满足")</f>
        <v>不满足</v>
      </c>
      <c r="M187" s="232"/>
      <c r="N187" s="233">
        <f>P57</f>
        <v>0</v>
      </c>
      <c r="O187" s="234"/>
      <c r="AK187" s="130"/>
      <c r="AL187" s="130"/>
      <c r="AM187" s="130"/>
      <c r="AN187" s="130"/>
      <c r="AO187" s="130"/>
      <c r="AP187" s="130"/>
      <c r="AQ187" s="130"/>
      <c r="AR187" s="130"/>
      <c r="AS187" s="130"/>
      <c r="AT187" s="130"/>
      <c r="AU187" s="130"/>
      <c r="AV187" s="130"/>
      <c r="AW187" s="130"/>
      <c r="AX187" s="130"/>
      <c r="AY187" s="130"/>
      <c r="AZ187" s="130"/>
      <c r="BA187" s="130"/>
      <c r="BB187" s="130"/>
      <c r="BC187" s="130"/>
      <c r="BD187" s="130"/>
      <c r="BE187" s="130"/>
      <c r="BF187" s="130"/>
      <c r="BG187" s="130"/>
      <c r="BH187" s="130"/>
    </row>
    <row r="188" ht="27" customHeight="1" spans="1:60">
      <c r="A188" s="36"/>
      <c r="B188" s="213"/>
      <c r="C188" s="214" t="s">
        <v>56</v>
      </c>
      <c r="D188" s="215"/>
      <c r="E188" s="211" t="s">
        <v>57</v>
      </c>
      <c r="F188" s="216" t="s">
        <v>272</v>
      </c>
      <c r="G188" s="217"/>
      <c r="H188" s="209" t="s">
        <v>273</v>
      </c>
      <c r="I188" s="235"/>
      <c r="J188" s="209" t="s">
        <v>274</v>
      </c>
      <c r="K188" s="212"/>
      <c r="L188" s="236" t="s">
        <v>275</v>
      </c>
      <c r="M188" s="237"/>
      <c r="N188" s="238" t="s">
        <v>276</v>
      </c>
      <c r="O188" s="239"/>
      <c r="AK188" s="130"/>
      <c r="AL188" s="130"/>
      <c r="AM188" s="130"/>
      <c r="AN188" s="130"/>
      <c r="AO188" s="130"/>
      <c r="AP188" s="130"/>
      <c r="AQ188" s="130"/>
      <c r="AR188" s="130"/>
      <c r="AS188" s="130"/>
      <c r="AT188" s="130"/>
      <c r="AU188" s="130"/>
      <c r="AV188" s="130"/>
      <c r="AW188" s="130"/>
      <c r="AX188" s="130"/>
      <c r="AY188" s="130"/>
      <c r="AZ188" s="130"/>
      <c r="BA188" s="130"/>
      <c r="BB188" s="130"/>
      <c r="BC188" s="130"/>
      <c r="BD188" s="130"/>
      <c r="BE188" s="130"/>
      <c r="BF188" s="130"/>
      <c r="BG188" s="130"/>
      <c r="BH188" s="130"/>
    </row>
    <row r="189" ht="27" customHeight="1" spans="1:60">
      <c r="A189" s="36"/>
      <c r="B189" s="218"/>
      <c r="C189" s="204">
        <f>IF(AND(P42&lt;&gt;"",P42&gt;0),P42,0)</f>
        <v>0</v>
      </c>
      <c r="D189" s="206"/>
      <c r="E189" s="207" t="str">
        <f>IF(K29&lt;&gt;"",Q42,"不满足")</f>
        <v>不满足</v>
      </c>
      <c r="F189" s="204">
        <f>IF(SUM(P44:Q44)&gt;0,SUM(P44:Q44),0)</f>
        <v>0</v>
      </c>
      <c r="G189" s="206"/>
      <c r="H189" s="204" t="str">
        <f>IF(F189&lt;&gt;"",IF(P44&gt;0,"满足","不满足"),"")</f>
        <v>不满足</v>
      </c>
      <c r="I189" s="206"/>
      <c r="J189" s="204">
        <f>Q66+M71</f>
        <v>0</v>
      </c>
      <c r="K189" s="205"/>
      <c r="L189" s="232" t="str">
        <f>IF(P66&gt;0,"满足","不满足")</f>
        <v>不满足</v>
      </c>
      <c r="M189" s="240"/>
      <c r="N189" s="241">
        <f>C187+J187+N187+C189+F189+J189</f>
        <v>0</v>
      </c>
      <c r="O189" s="241"/>
      <c r="AK189" s="130"/>
      <c r="AL189" s="130"/>
      <c r="AM189" s="130"/>
      <c r="AN189" s="130"/>
      <c r="AO189" s="130"/>
      <c r="AP189" s="130"/>
      <c r="AQ189" s="130"/>
      <c r="AR189" s="130"/>
      <c r="AS189" s="130"/>
      <c r="AT189" s="130"/>
      <c r="AU189" s="130"/>
      <c r="AV189" s="130"/>
      <c r="AW189" s="130"/>
      <c r="AX189" s="130"/>
      <c r="AY189" s="130"/>
      <c r="AZ189" s="130"/>
      <c r="BA189" s="130"/>
      <c r="BB189" s="130"/>
      <c r="BC189" s="130"/>
      <c r="BD189" s="130"/>
      <c r="BE189" s="130"/>
      <c r="BF189" s="130"/>
      <c r="BG189" s="130"/>
      <c r="BH189" s="130"/>
    </row>
    <row r="190" ht="27" customHeight="1" spans="1:60">
      <c r="A190" s="36"/>
      <c r="B190" s="208" t="s">
        <v>277</v>
      </c>
      <c r="C190" s="209" t="s">
        <v>278</v>
      </c>
      <c r="D190" s="210"/>
      <c r="E190" s="209" t="s">
        <v>279</v>
      </c>
      <c r="F190" s="212"/>
      <c r="G190" s="210"/>
      <c r="H190" s="209" t="s">
        <v>280</v>
      </c>
      <c r="I190" s="210"/>
      <c r="J190" s="209" t="s">
        <v>281</v>
      </c>
      <c r="K190" s="212"/>
      <c r="L190" s="212"/>
      <c r="M190" s="210"/>
      <c r="N190" s="238" t="s">
        <v>282</v>
      </c>
      <c r="O190" s="242"/>
      <c r="AK190" s="130"/>
      <c r="AL190" s="130"/>
      <c r="AM190" s="130"/>
      <c r="AN190" s="130"/>
      <c r="AO190" s="130"/>
      <c r="AP190" s="130"/>
      <c r="AQ190" s="130"/>
      <c r="AR190" s="130"/>
      <c r="AS190" s="130"/>
      <c r="AT190" s="130"/>
      <c r="AU190" s="130"/>
      <c r="AV190" s="130"/>
      <c r="AW190" s="130"/>
      <c r="AX190" s="130"/>
      <c r="AY190" s="130"/>
      <c r="AZ190" s="130"/>
      <c r="BA190" s="130"/>
      <c r="BB190" s="130"/>
      <c r="BC190" s="130"/>
      <c r="BD190" s="130"/>
      <c r="BE190" s="130"/>
      <c r="BF190" s="130"/>
      <c r="BG190" s="130"/>
      <c r="BH190" s="130"/>
    </row>
    <row r="191" ht="27" customHeight="1" spans="1:60">
      <c r="A191" s="36"/>
      <c r="B191" s="213"/>
      <c r="C191" s="204">
        <f>M79</f>
        <v>0</v>
      </c>
      <c r="D191" s="206"/>
      <c r="E191" s="204" t="str">
        <f>IF(SUM(Y76:Z78)&gt;1,"满足","不满足")</f>
        <v>不满足</v>
      </c>
      <c r="F191" s="205"/>
      <c r="G191" s="206"/>
      <c r="H191" s="204">
        <f>M84+M89</f>
        <v>0</v>
      </c>
      <c r="I191" s="206"/>
      <c r="J191" s="204" t="str">
        <f>IF((SUM(V82:W83)+SUM(V87:W88))&gt;1,"满足","不满足")</f>
        <v>不满足</v>
      </c>
      <c r="K191" s="205"/>
      <c r="L191" s="205"/>
      <c r="M191" s="206"/>
      <c r="N191" s="243">
        <f>C191+H191</f>
        <v>0</v>
      </c>
      <c r="O191" s="244"/>
      <c r="AK191" s="130"/>
      <c r="AL191" s="130"/>
      <c r="AM191" s="130"/>
      <c r="AN191" s="130"/>
      <c r="AO191" s="130"/>
      <c r="AP191" s="130"/>
      <c r="AQ191" s="130"/>
      <c r="AR191" s="130"/>
      <c r="AS191" s="130"/>
      <c r="AT191" s="130"/>
      <c r="AU191" s="130"/>
      <c r="AV191" s="130"/>
      <c r="AW191" s="130"/>
      <c r="AX191" s="130"/>
      <c r="AY191" s="130"/>
      <c r="AZ191" s="130"/>
      <c r="BA191" s="130"/>
      <c r="BB191" s="130"/>
      <c r="BC191" s="130"/>
      <c r="BD191" s="130"/>
      <c r="BE191" s="130"/>
      <c r="BF191" s="130"/>
      <c r="BG191" s="130"/>
      <c r="BH191" s="130"/>
    </row>
    <row r="192" ht="27" customHeight="1" spans="1:60">
      <c r="A192" s="36"/>
      <c r="B192" s="208" t="s">
        <v>283</v>
      </c>
      <c r="C192" s="209" t="s">
        <v>284</v>
      </c>
      <c r="D192" s="210"/>
      <c r="E192" s="209" t="s">
        <v>285</v>
      </c>
      <c r="F192" s="212"/>
      <c r="G192" s="210"/>
      <c r="H192" s="209" t="s">
        <v>286</v>
      </c>
      <c r="I192" s="210"/>
      <c r="J192" s="209" t="s">
        <v>287</v>
      </c>
      <c r="K192" s="210"/>
      <c r="L192" s="209" t="s">
        <v>288</v>
      </c>
      <c r="M192" s="210"/>
      <c r="N192" s="209" t="s">
        <v>289</v>
      </c>
      <c r="O192" s="210"/>
      <c r="P192" s="118"/>
      <c r="Q192" s="118"/>
      <c r="R192" s="118"/>
      <c r="S192" s="247"/>
      <c r="T192" s="118"/>
      <c r="U192" s="118"/>
      <c r="V192" s="118"/>
      <c r="AK192" s="130"/>
      <c r="AL192" s="130"/>
      <c r="AM192" s="130"/>
      <c r="AN192" s="130"/>
      <c r="AO192" s="130"/>
      <c r="AP192" s="130"/>
      <c r="AQ192" s="130"/>
      <c r="AR192" s="130"/>
      <c r="AS192" s="130"/>
      <c r="AT192" s="130"/>
      <c r="AU192" s="130"/>
      <c r="AV192" s="130"/>
      <c r="AW192" s="130"/>
      <c r="AX192" s="130"/>
      <c r="AY192" s="130"/>
      <c r="AZ192" s="130"/>
      <c r="BA192" s="130"/>
      <c r="BB192" s="130"/>
      <c r="BC192" s="130"/>
      <c r="BD192" s="130"/>
      <c r="BE192" s="130"/>
      <c r="BF192" s="130"/>
      <c r="BG192" s="130"/>
      <c r="BH192" s="130"/>
    </row>
    <row r="193" ht="27" customHeight="1" spans="1:60">
      <c r="A193" s="36"/>
      <c r="B193" s="213"/>
      <c r="C193" s="204">
        <f>IF(M97&lt;&gt;"",M97,0)</f>
        <v>0</v>
      </c>
      <c r="D193" s="206"/>
      <c r="E193" s="209" t="str">
        <f>IF((SUM(Z93:AA96)+SUM(AC93:AD96))&gt;0,"满足","不满足")</f>
        <v>不满足</v>
      </c>
      <c r="F193" s="212"/>
      <c r="G193" s="210"/>
      <c r="H193" s="248">
        <f>M102</f>
        <v>0</v>
      </c>
      <c r="I193" s="262"/>
      <c r="J193" s="209" t="str">
        <f>IF(SUM(R100:S101)&gt;0,"满足","不满足")</f>
        <v>不满足</v>
      </c>
      <c r="K193" s="210"/>
      <c r="L193" s="248">
        <f>M109+M114</f>
        <v>0</v>
      </c>
      <c r="M193" s="262"/>
      <c r="N193" s="209" t="str">
        <f>IF(SUM(Y105:Z108)&gt;1,"满足","不满足")</f>
        <v>不满足</v>
      </c>
      <c r="O193" s="210"/>
      <c r="P193" s="32"/>
      <c r="Q193" s="32"/>
      <c r="S193" s="32"/>
      <c r="AK193" s="130"/>
      <c r="AL193" s="130"/>
      <c r="AM193" s="130"/>
      <c r="AN193" s="130"/>
      <c r="AO193" s="130"/>
      <c r="AP193" s="130"/>
      <c r="AQ193" s="130"/>
      <c r="AR193" s="130"/>
      <c r="AS193" s="130"/>
      <c r="AT193" s="130"/>
      <c r="AU193" s="130"/>
      <c r="AV193" s="130"/>
      <c r="AW193" s="130"/>
      <c r="AX193" s="130"/>
      <c r="AY193" s="130"/>
      <c r="AZ193" s="130"/>
      <c r="BA193" s="130"/>
      <c r="BB193" s="130"/>
      <c r="BC193" s="130"/>
      <c r="BD193" s="130"/>
      <c r="BE193" s="130"/>
      <c r="BF193" s="130"/>
      <c r="BG193" s="130"/>
      <c r="BH193" s="130"/>
    </row>
    <row r="194" ht="27" customHeight="1" spans="1:60">
      <c r="A194" s="36"/>
      <c r="B194" s="213"/>
      <c r="C194" s="216" t="s">
        <v>290</v>
      </c>
      <c r="D194" s="249"/>
      <c r="E194" s="216" t="s">
        <v>291</v>
      </c>
      <c r="F194" s="250"/>
      <c r="G194" s="249"/>
      <c r="H194" s="216" t="s">
        <v>292</v>
      </c>
      <c r="I194" s="249"/>
      <c r="J194" s="216" t="s">
        <v>293</v>
      </c>
      <c r="K194" s="249"/>
      <c r="L194" s="216" t="s">
        <v>294</v>
      </c>
      <c r="M194" s="249"/>
      <c r="N194" s="216" t="s">
        <v>295</v>
      </c>
      <c r="O194" s="249"/>
      <c r="AK194" s="130"/>
      <c r="AL194" s="130"/>
      <c r="AM194" s="130"/>
      <c r="AN194" s="130"/>
      <c r="AO194" s="130"/>
      <c r="AP194" s="130"/>
      <c r="AQ194" s="130"/>
      <c r="AR194" s="130"/>
      <c r="AS194" s="130"/>
      <c r="AT194" s="130"/>
      <c r="AU194" s="130"/>
      <c r="AV194" s="130"/>
      <c r="AW194" s="130"/>
      <c r="AX194" s="130"/>
      <c r="AY194" s="130"/>
      <c r="AZ194" s="130"/>
      <c r="BA194" s="130"/>
      <c r="BB194" s="130"/>
      <c r="BC194" s="130"/>
      <c r="BD194" s="130"/>
      <c r="BE194" s="130"/>
      <c r="BF194" s="130"/>
      <c r="BG194" s="130"/>
      <c r="BH194" s="130"/>
    </row>
    <row r="195" ht="27" customHeight="1" spans="1:60">
      <c r="A195" s="36"/>
      <c r="B195" s="213"/>
      <c r="C195" s="251">
        <f>M119</f>
        <v>0</v>
      </c>
      <c r="D195" s="252"/>
      <c r="E195" s="251" t="str">
        <f>IF(SUM(AB117:AE118)&gt;0,"满足","不满足")</f>
        <v>不满足</v>
      </c>
      <c r="F195" s="253"/>
      <c r="G195" s="252"/>
      <c r="H195" s="251">
        <f>M124</f>
        <v>0</v>
      </c>
      <c r="I195" s="252"/>
      <c r="J195" s="251" t="str">
        <f>IF(SUM(V122:W123)&gt;0,"满足","不满足")</f>
        <v>不满足</v>
      </c>
      <c r="K195" s="252"/>
      <c r="L195" s="251">
        <f>M129</f>
        <v>0</v>
      </c>
      <c r="M195" s="252"/>
      <c r="N195" s="214" t="str">
        <f>IF(SUM(U127:V128)&gt;0,"满足","不满足")</f>
        <v>不满足</v>
      </c>
      <c r="O195" s="215"/>
      <c r="AK195" s="130"/>
      <c r="AL195" s="130"/>
      <c r="AM195" s="130"/>
      <c r="AN195" s="130"/>
      <c r="AO195" s="130"/>
      <c r="AP195" s="130"/>
      <c r="AQ195" s="130"/>
      <c r="AR195" s="130"/>
      <c r="AS195" s="130"/>
      <c r="AT195" s="130"/>
      <c r="AU195" s="130"/>
      <c r="AV195" s="130"/>
      <c r="AW195" s="130"/>
      <c r="AX195" s="130"/>
      <c r="AY195" s="130"/>
      <c r="AZ195" s="130"/>
      <c r="BA195" s="130"/>
      <c r="BB195" s="130"/>
      <c r="BC195" s="130"/>
      <c r="BD195" s="130"/>
      <c r="BE195" s="130"/>
      <c r="BF195" s="130"/>
      <c r="BG195" s="130"/>
      <c r="BH195" s="130"/>
    </row>
    <row r="196" ht="27" customHeight="1" spans="1:60">
      <c r="A196" s="36"/>
      <c r="B196" s="213"/>
      <c r="C196" s="209" t="s">
        <v>296</v>
      </c>
      <c r="D196" s="210"/>
      <c r="E196" s="211" t="s">
        <v>297</v>
      </c>
      <c r="F196" s="211"/>
      <c r="G196" s="210" t="s">
        <v>298</v>
      </c>
      <c r="H196" s="209" t="s">
        <v>299</v>
      </c>
      <c r="I196" s="210"/>
      <c r="J196" s="211" t="s">
        <v>300</v>
      </c>
      <c r="K196" s="209" t="s">
        <v>301</v>
      </c>
      <c r="L196" s="210"/>
      <c r="M196" s="229" t="s">
        <v>302</v>
      </c>
      <c r="N196" s="238" t="s">
        <v>303</v>
      </c>
      <c r="O196" s="242"/>
      <c r="P196" s="118"/>
      <c r="Q196" s="118"/>
      <c r="R196" s="118"/>
      <c r="S196" s="247"/>
      <c r="T196" s="118"/>
      <c r="U196" s="118"/>
      <c r="V196" s="118"/>
      <c r="AK196" s="130"/>
      <c r="AL196" s="130"/>
      <c r="AM196" s="130"/>
      <c r="AN196" s="130"/>
      <c r="AO196" s="130"/>
      <c r="AP196" s="130"/>
      <c r="AQ196" s="130"/>
      <c r="AR196" s="130"/>
      <c r="AS196" s="130"/>
      <c r="AT196" s="130"/>
      <c r="AU196" s="130"/>
      <c r="AV196" s="130"/>
      <c r="AW196" s="130"/>
      <c r="AX196" s="130"/>
      <c r="AY196" s="130"/>
      <c r="AZ196" s="130"/>
      <c r="BA196" s="130"/>
      <c r="BB196" s="130"/>
      <c r="BC196" s="130"/>
      <c r="BD196" s="130"/>
      <c r="BE196" s="130"/>
      <c r="BF196" s="130"/>
      <c r="BG196" s="130"/>
      <c r="BH196" s="130"/>
    </row>
    <row r="197" ht="27" customHeight="1" spans="1:60">
      <c r="A197" s="36"/>
      <c r="B197" s="213"/>
      <c r="C197" s="204">
        <f>M135</f>
        <v>0</v>
      </c>
      <c r="D197" s="206"/>
      <c r="E197" s="207" t="str">
        <f>IF(SUM(W132:W134)&gt;0,"满足","不满足")</f>
        <v>不满足</v>
      </c>
      <c r="F197" s="207"/>
      <c r="G197" s="206">
        <f>M140</f>
        <v>0</v>
      </c>
      <c r="H197" s="204" t="str">
        <f>IF(SUM(R138:R139)&gt;0,"满足","不满足")</f>
        <v>不满足</v>
      </c>
      <c r="I197" s="206"/>
      <c r="J197" s="263">
        <f>M145</f>
        <v>0</v>
      </c>
      <c r="K197" s="204" t="str">
        <f>IF(SUM(V143:V144)&gt;0,"满足","不满足")</f>
        <v>不满足</v>
      </c>
      <c r="L197" s="206"/>
      <c r="M197" s="232">
        <f>M150</f>
        <v>0</v>
      </c>
      <c r="N197" s="243">
        <f>C193+H193+L193+C195+H195+L195+C197+G197+J197+M197</f>
        <v>0</v>
      </c>
      <c r="O197" s="244"/>
      <c r="P197" s="32"/>
      <c r="Q197" s="32"/>
      <c r="S197" s="32"/>
      <c r="AK197" s="130"/>
      <c r="AL197" s="130"/>
      <c r="AM197" s="130"/>
      <c r="AN197" s="130"/>
      <c r="AO197" s="130"/>
      <c r="AP197" s="130"/>
      <c r="AQ197" s="130"/>
      <c r="AR197" s="130"/>
      <c r="AS197" s="130"/>
      <c r="AT197" s="130"/>
      <c r="AU197" s="130"/>
      <c r="AV197" s="130"/>
      <c r="AW197" s="130"/>
      <c r="AX197" s="130"/>
      <c r="AY197" s="130"/>
      <c r="AZ197" s="130"/>
      <c r="BA197" s="130"/>
      <c r="BB197" s="130"/>
      <c r="BC197" s="130"/>
      <c r="BD197" s="130"/>
      <c r="BE197" s="130"/>
      <c r="BF197" s="130"/>
      <c r="BG197" s="130"/>
      <c r="BH197" s="130"/>
    </row>
    <row r="198" ht="27" customHeight="1" spans="1:60">
      <c r="A198" s="36"/>
      <c r="B198" s="254" t="s">
        <v>304</v>
      </c>
      <c r="C198" s="209" t="s">
        <v>305</v>
      </c>
      <c r="D198" s="210"/>
      <c r="E198" s="209" t="s">
        <v>306</v>
      </c>
      <c r="F198" s="210"/>
      <c r="G198" s="211" t="s">
        <v>307</v>
      </c>
      <c r="H198" s="209" t="s">
        <v>308</v>
      </c>
      <c r="I198" s="210"/>
      <c r="J198" s="211" t="s">
        <v>309</v>
      </c>
      <c r="K198" s="209" t="s">
        <v>310</v>
      </c>
      <c r="L198" s="210"/>
      <c r="M198" s="211" t="s">
        <v>311</v>
      </c>
      <c r="N198" s="238" t="s">
        <v>312</v>
      </c>
      <c r="O198" s="242"/>
      <c r="AK198" s="130"/>
      <c r="AL198" s="130"/>
      <c r="AM198" s="130"/>
      <c r="AN198" s="130"/>
      <c r="AO198" s="130"/>
      <c r="AP198" s="130"/>
      <c r="AQ198" s="130"/>
      <c r="AR198" s="130"/>
      <c r="AS198" s="130"/>
      <c r="AT198" s="130"/>
      <c r="AU198" s="130"/>
      <c r="AV198" s="130"/>
      <c r="AW198" s="130"/>
      <c r="AX198" s="130"/>
      <c r="AY198" s="130"/>
      <c r="AZ198" s="130"/>
      <c r="BA198" s="130"/>
      <c r="BB198" s="130"/>
      <c r="BC198" s="130"/>
      <c r="BD198" s="130"/>
      <c r="BE198" s="130"/>
      <c r="BF198" s="130"/>
      <c r="BG198" s="130"/>
      <c r="BH198" s="130"/>
    </row>
    <row r="199" ht="27" customHeight="1" spans="1:60">
      <c r="A199" s="36"/>
      <c r="B199" s="254"/>
      <c r="C199" s="204">
        <f>M157</f>
        <v>0</v>
      </c>
      <c r="D199" s="206"/>
      <c r="E199" s="204" t="str">
        <f>IF(SUM(Q154:Q156)&gt;0,"满足","不满足")</f>
        <v>不满足</v>
      </c>
      <c r="F199" s="206"/>
      <c r="G199" s="207">
        <f>P160</f>
        <v>0</v>
      </c>
      <c r="H199" s="204" t="str">
        <f>IF(G199&gt;0,"满足","不满足")</f>
        <v>不满足</v>
      </c>
      <c r="I199" s="206"/>
      <c r="J199" s="207">
        <f>M165</f>
        <v>0</v>
      </c>
      <c r="K199" s="204">
        <f>M170</f>
        <v>0</v>
      </c>
      <c r="L199" s="206"/>
      <c r="M199" s="207">
        <f>M175</f>
        <v>0</v>
      </c>
      <c r="N199" s="243">
        <f>C199+G199+J199+K199+M199</f>
        <v>0</v>
      </c>
      <c r="O199" s="244"/>
      <c r="AK199" s="130"/>
      <c r="AL199" s="130"/>
      <c r="AM199" s="130"/>
      <c r="AN199" s="130"/>
      <c r="AO199" s="130"/>
      <c r="AP199" s="130"/>
      <c r="AQ199" s="130"/>
      <c r="AR199" s="130"/>
      <c r="AS199" s="130"/>
      <c r="AT199" s="130"/>
      <c r="AU199" s="130"/>
      <c r="AV199" s="130"/>
      <c r="AW199" s="130"/>
      <c r="AX199" s="130"/>
      <c r="AY199" s="130"/>
      <c r="AZ199" s="130"/>
      <c r="BA199" s="130"/>
      <c r="BB199" s="130"/>
      <c r="BC199" s="130"/>
      <c r="BD199" s="130"/>
      <c r="BE199" s="130"/>
      <c r="BF199" s="130"/>
      <c r="BG199" s="130"/>
      <c r="BH199" s="130"/>
    </row>
    <row r="200" ht="27" customHeight="1" spans="1:60">
      <c r="A200" s="36"/>
      <c r="B200" s="254" t="s">
        <v>313</v>
      </c>
      <c r="C200" s="255" t="s">
        <v>314</v>
      </c>
      <c r="D200" s="256"/>
      <c r="E200" s="216" t="s">
        <v>315</v>
      </c>
      <c r="F200" s="249"/>
      <c r="G200" s="216" t="s">
        <v>316</v>
      </c>
      <c r="H200" s="249"/>
      <c r="I200" s="264" t="s">
        <v>317</v>
      </c>
      <c r="J200" s="265"/>
      <c r="K200" s="264" t="s">
        <v>318</v>
      </c>
      <c r="L200" s="266"/>
      <c r="M200" s="265"/>
      <c r="N200" s="216" t="s">
        <v>319</v>
      </c>
      <c r="O200" s="249"/>
      <c r="P200" s="127" t="s">
        <v>320</v>
      </c>
      <c r="Q200" s="127" t="s">
        <v>321</v>
      </c>
      <c r="R200" s="127" t="s">
        <v>322</v>
      </c>
      <c r="S200" s="128" t="s">
        <v>323</v>
      </c>
      <c r="T200" s="129"/>
      <c r="U200" s="118" t="s">
        <v>324</v>
      </c>
      <c r="AK200" s="130"/>
      <c r="AL200" s="130"/>
      <c r="AM200" s="130"/>
      <c r="AN200" s="130"/>
      <c r="AO200" s="130"/>
      <c r="AP200" s="130"/>
      <c r="AQ200" s="130"/>
      <c r="AR200" s="130"/>
      <c r="AS200" s="130"/>
      <c r="AT200" s="130"/>
      <c r="AU200" s="130"/>
      <c r="AV200" s="130"/>
      <c r="AW200" s="130"/>
      <c r="AX200" s="130"/>
      <c r="AY200" s="130"/>
      <c r="AZ200" s="130"/>
      <c r="BA200" s="130"/>
      <c r="BB200" s="130"/>
      <c r="BC200" s="130"/>
      <c r="BD200" s="130"/>
      <c r="BE200" s="130"/>
      <c r="BF200" s="130"/>
      <c r="BG200" s="130"/>
      <c r="BH200" s="130"/>
    </row>
    <row r="201" ht="27" customHeight="1" spans="1:60">
      <c r="A201" s="36"/>
      <c r="B201" s="254"/>
      <c r="C201" s="257">
        <f>IF(M181&gt;20,20,M181)</f>
        <v>0</v>
      </c>
      <c r="D201" s="256"/>
      <c r="E201" s="251" t="str">
        <f ca="1">IF(P201=2,"满足","不满足")</f>
        <v>不满足</v>
      </c>
      <c r="F201" s="252"/>
      <c r="G201" s="251" t="str">
        <f>IF(Q201=6,"满足","不满足")</f>
        <v>不满足</v>
      </c>
      <c r="H201" s="252"/>
      <c r="I201" s="251" t="str">
        <f>IF(S201&gt;0,"满足","不满足")</f>
        <v>不满足</v>
      </c>
      <c r="J201" s="252"/>
      <c r="K201" s="251" t="str">
        <f>IF(R201&gt;=3,"满足","不满足")</f>
        <v>不满足</v>
      </c>
      <c r="L201" s="253"/>
      <c r="M201" s="252"/>
      <c r="N201" s="214" t="str">
        <f>IF(U201=2,"满足","不满足")</f>
        <v>不满足</v>
      </c>
      <c r="O201" s="215"/>
      <c r="P201" s="32">
        <f ca="1">COUNTIF(C185:M185,"满足")</f>
        <v>0</v>
      </c>
      <c r="Q201" s="32">
        <f>COUNTIF(C187:O189,"满足")</f>
        <v>0</v>
      </c>
      <c r="R201" s="32">
        <f>COUNTIF(C192:O197,"满足")</f>
        <v>0</v>
      </c>
      <c r="S201" s="128">
        <f>COUNTIF(C191:M191,"满足")</f>
        <v>0</v>
      </c>
      <c r="T201" s="129"/>
      <c r="U201" s="32">
        <f>COUNTIF(C199:M199,"满足")</f>
        <v>0</v>
      </c>
      <c r="AK201" s="130"/>
      <c r="AL201" s="130"/>
      <c r="AM201" s="130"/>
      <c r="AN201" s="130"/>
      <c r="AO201" s="130"/>
      <c r="AP201" s="130"/>
      <c r="AQ201" s="130"/>
      <c r="AR201" s="130"/>
      <c r="AS201" s="130"/>
      <c r="AT201" s="130"/>
      <c r="AU201" s="130"/>
      <c r="AV201" s="130"/>
      <c r="AW201" s="130"/>
      <c r="AX201" s="130"/>
      <c r="AY201" s="130"/>
      <c r="AZ201" s="130"/>
      <c r="BA201" s="130"/>
      <c r="BB201" s="130"/>
      <c r="BC201" s="130"/>
      <c r="BD201" s="130"/>
      <c r="BE201" s="130"/>
      <c r="BF201" s="130"/>
      <c r="BG201" s="130"/>
      <c r="BH201" s="130"/>
    </row>
    <row r="202" ht="27" customHeight="1" spans="1:60">
      <c r="A202" s="36"/>
      <c r="B202" s="258" t="s">
        <v>325</v>
      </c>
      <c r="C202" s="259"/>
      <c r="D202" s="259"/>
      <c r="E202" s="260"/>
      <c r="F202" s="258" t="str">
        <f ca="1">IF(COUNTIF(E201:M201,"不满足")&gt;0,"否","是")</f>
        <v>否</v>
      </c>
      <c r="G202" s="260"/>
      <c r="H202" s="258" t="s">
        <v>326</v>
      </c>
      <c r="I202" s="259"/>
      <c r="J202" s="260"/>
      <c r="K202" s="267">
        <f ca="1">N185+N189+N191+N197+N199+C201</f>
        <v>0</v>
      </c>
      <c r="L202" s="267"/>
      <c r="M202" s="267"/>
      <c r="N202" s="267"/>
      <c r="O202" s="267"/>
      <c r="AK202" s="130"/>
      <c r="AL202" s="130"/>
      <c r="AM202" s="130"/>
      <c r="AN202" s="130"/>
      <c r="AO202" s="130"/>
      <c r="AP202" s="130"/>
      <c r="AQ202" s="130"/>
      <c r="AR202" s="130"/>
      <c r="AS202" s="130"/>
      <c r="AT202" s="130"/>
      <c r="AU202" s="130"/>
      <c r="AV202" s="130"/>
      <c r="AW202" s="130"/>
      <c r="AX202" s="130"/>
      <c r="AY202" s="130"/>
      <c r="AZ202" s="130"/>
      <c r="BA202" s="130"/>
      <c r="BB202" s="130"/>
      <c r="BC202" s="130"/>
      <c r="BD202" s="130"/>
      <c r="BE202" s="130"/>
      <c r="BF202" s="130"/>
      <c r="BG202" s="130"/>
      <c r="BH202" s="130"/>
    </row>
    <row r="203" ht="129" customHeight="1" spans="1:60">
      <c r="A203" s="36"/>
      <c r="B203" s="87" t="s">
        <v>327</v>
      </c>
      <c r="C203" s="261" t="s">
        <v>328</v>
      </c>
      <c r="D203" s="261"/>
      <c r="E203" s="261"/>
      <c r="F203" s="261"/>
      <c r="G203" s="261"/>
      <c r="H203" s="261"/>
      <c r="I203" s="261"/>
      <c r="J203" s="261"/>
      <c r="K203" s="261"/>
      <c r="L203" s="261"/>
      <c r="M203" s="261"/>
      <c r="N203" s="261"/>
      <c r="O203" s="261"/>
      <c r="AK203" s="130"/>
      <c r="AL203" s="130"/>
      <c r="AM203" s="130"/>
      <c r="AN203" s="130"/>
      <c r="AO203" s="130"/>
      <c r="AP203" s="130"/>
      <c r="AQ203" s="130"/>
      <c r="AR203" s="130"/>
      <c r="AS203" s="130"/>
      <c r="AT203" s="130"/>
      <c r="AU203" s="130"/>
      <c r="AV203" s="130"/>
      <c r="AW203" s="130"/>
      <c r="AX203" s="130"/>
      <c r="AY203" s="130"/>
      <c r="AZ203" s="130"/>
      <c r="BA203" s="130"/>
      <c r="BB203" s="130"/>
      <c r="BC203" s="130"/>
      <c r="BD203" s="130"/>
      <c r="BE203" s="130"/>
      <c r="BF203" s="130"/>
      <c r="BG203" s="130"/>
      <c r="BH203" s="130"/>
    </row>
    <row r="204" ht="129" customHeight="1" spans="1:60">
      <c r="A204" s="36"/>
      <c r="B204" s="87" t="s">
        <v>329</v>
      </c>
      <c r="C204" s="261" t="s">
        <v>330</v>
      </c>
      <c r="D204" s="261"/>
      <c r="E204" s="261"/>
      <c r="F204" s="261"/>
      <c r="G204" s="261"/>
      <c r="H204" s="261"/>
      <c r="I204" s="261"/>
      <c r="J204" s="261"/>
      <c r="K204" s="261"/>
      <c r="L204" s="261"/>
      <c r="M204" s="261"/>
      <c r="N204" s="261"/>
      <c r="O204" s="261"/>
      <c r="AK204" s="130"/>
      <c r="AL204" s="130"/>
      <c r="AM204" s="130"/>
      <c r="AN204" s="130"/>
      <c r="AO204" s="130"/>
      <c r="AP204" s="130"/>
      <c r="AQ204" s="130"/>
      <c r="AR204" s="130"/>
      <c r="AS204" s="130"/>
      <c r="AT204" s="130"/>
      <c r="AU204" s="130"/>
      <c r="AV204" s="130"/>
      <c r="AW204" s="130"/>
      <c r="AX204" s="130"/>
      <c r="AY204" s="130"/>
      <c r="AZ204" s="130"/>
      <c r="BA204" s="130"/>
      <c r="BB204" s="130"/>
      <c r="BC204" s="130"/>
      <c r="BD204" s="130"/>
      <c r="BE204" s="130"/>
      <c r="BF204" s="130"/>
      <c r="BG204" s="130"/>
      <c r="BH204" s="130"/>
    </row>
    <row r="205" ht="129" customHeight="1" spans="1:60">
      <c r="A205" s="36"/>
      <c r="B205" s="87" t="s">
        <v>331</v>
      </c>
      <c r="C205" s="261" t="s">
        <v>332</v>
      </c>
      <c r="D205" s="261"/>
      <c r="E205" s="261"/>
      <c r="F205" s="261"/>
      <c r="G205" s="261"/>
      <c r="H205" s="261"/>
      <c r="I205" s="261"/>
      <c r="J205" s="261"/>
      <c r="K205" s="261"/>
      <c r="L205" s="261"/>
      <c r="M205" s="261"/>
      <c r="N205" s="261"/>
      <c r="O205" s="261"/>
      <c r="AK205" s="130"/>
      <c r="AL205" s="130"/>
      <c r="AM205" s="130"/>
      <c r="AN205" s="130"/>
      <c r="AO205" s="130"/>
      <c r="AP205" s="130"/>
      <c r="AQ205" s="130"/>
      <c r="AR205" s="130"/>
      <c r="AS205" s="130"/>
      <c r="AT205" s="130"/>
      <c r="AU205" s="130"/>
      <c r="AV205" s="130"/>
      <c r="AW205" s="130"/>
      <c r="AX205" s="130"/>
      <c r="AY205" s="130"/>
      <c r="AZ205" s="130"/>
      <c r="BA205" s="130"/>
      <c r="BB205" s="130"/>
      <c r="BC205" s="130"/>
      <c r="BD205" s="130"/>
      <c r="BE205" s="130"/>
      <c r="BF205" s="130"/>
      <c r="BG205" s="130"/>
      <c r="BH205" s="130"/>
    </row>
    <row r="206" s="27" customFormat="1" spans="1:72">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c r="AC206" s="130"/>
      <c r="AD206" s="130"/>
      <c r="AE206" s="130"/>
      <c r="AF206" s="130"/>
      <c r="AG206" s="130"/>
      <c r="AH206" s="130"/>
      <c r="AI206" s="130"/>
      <c r="AJ206" s="130"/>
      <c r="AK206" s="130"/>
      <c r="AL206" s="130"/>
      <c r="AM206" s="130"/>
      <c r="AN206" s="130"/>
      <c r="AO206" s="130"/>
      <c r="AP206" s="130"/>
      <c r="AQ206" s="130"/>
      <c r="AR206" s="130"/>
      <c r="AS206" s="130"/>
      <c r="AT206" s="130"/>
      <c r="AU206" s="130"/>
      <c r="AV206" s="130"/>
      <c r="AW206" s="130"/>
      <c r="AX206" s="130"/>
      <c r="AY206" s="130"/>
      <c r="AZ206" s="130"/>
      <c r="BA206" s="130"/>
      <c r="BB206" s="130"/>
      <c r="BC206" s="130"/>
      <c r="BD206" s="130"/>
      <c r="BE206" s="130"/>
      <c r="BF206" s="130"/>
      <c r="BG206" s="130"/>
      <c r="BH206" s="130"/>
      <c r="BI206" s="35"/>
      <c r="BJ206" s="35"/>
      <c r="BK206" s="35"/>
      <c r="BL206" s="35"/>
      <c r="BM206" s="35"/>
      <c r="BN206" s="35"/>
      <c r="BO206" s="35"/>
      <c r="BP206" s="35"/>
      <c r="BQ206" s="35"/>
      <c r="BR206" s="35"/>
      <c r="BS206" s="35"/>
      <c r="BT206" s="268"/>
    </row>
    <row r="207" s="27" customFormat="1" spans="1:72">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c r="AC207" s="130"/>
      <c r="AD207" s="130"/>
      <c r="AE207" s="130"/>
      <c r="AF207" s="130"/>
      <c r="AG207" s="130"/>
      <c r="AH207" s="130"/>
      <c r="AI207" s="130"/>
      <c r="AJ207" s="130"/>
      <c r="AK207" s="130"/>
      <c r="AL207" s="130"/>
      <c r="AM207" s="130"/>
      <c r="AN207" s="130"/>
      <c r="AO207" s="130"/>
      <c r="AP207" s="130"/>
      <c r="AQ207" s="130"/>
      <c r="AR207" s="130"/>
      <c r="AS207" s="130"/>
      <c r="AT207" s="130"/>
      <c r="AU207" s="130"/>
      <c r="AV207" s="130"/>
      <c r="AW207" s="130"/>
      <c r="AX207" s="130"/>
      <c r="AY207" s="130"/>
      <c r="AZ207" s="130"/>
      <c r="BA207" s="130"/>
      <c r="BB207" s="130"/>
      <c r="BC207" s="130"/>
      <c r="BD207" s="130"/>
      <c r="BE207" s="130"/>
      <c r="BF207" s="130"/>
      <c r="BG207" s="130"/>
      <c r="BH207" s="130"/>
      <c r="BI207" s="35"/>
      <c r="BJ207" s="35"/>
      <c r="BK207" s="35"/>
      <c r="BL207" s="35"/>
      <c r="BM207" s="35"/>
      <c r="BN207" s="35"/>
      <c r="BO207" s="35"/>
      <c r="BP207" s="35"/>
      <c r="BQ207" s="35"/>
      <c r="BR207" s="35"/>
      <c r="BS207" s="35"/>
      <c r="BT207" s="268"/>
    </row>
    <row r="208" s="27" customFormat="1" spans="1:72">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c r="AC208" s="130"/>
      <c r="AD208" s="130"/>
      <c r="AE208" s="130"/>
      <c r="AF208" s="130"/>
      <c r="AG208" s="130"/>
      <c r="AH208" s="130"/>
      <c r="AI208" s="130"/>
      <c r="AJ208" s="130"/>
      <c r="AK208" s="130"/>
      <c r="AL208" s="130"/>
      <c r="AM208" s="130"/>
      <c r="AN208" s="130"/>
      <c r="AO208" s="130"/>
      <c r="AP208" s="130"/>
      <c r="AQ208" s="130"/>
      <c r="AR208" s="130"/>
      <c r="AS208" s="130"/>
      <c r="AT208" s="130"/>
      <c r="AU208" s="130"/>
      <c r="AV208" s="130"/>
      <c r="AW208" s="130"/>
      <c r="AX208" s="130"/>
      <c r="AY208" s="130"/>
      <c r="AZ208" s="130"/>
      <c r="BA208" s="130"/>
      <c r="BB208" s="130"/>
      <c r="BI208" s="35"/>
      <c r="BJ208" s="35"/>
      <c r="BK208" s="35"/>
      <c r="BL208" s="35"/>
      <c r="BM208" s="35"/>
      <c r="BN208" s="35"/>
      <c r="BO208" s="35"/>
      <c r="BP208" s="35"/>
      <c r="BQ208" s="35"/>
      <c r="BR208" s="35"/>
      <c r="BS208" s="35"/>
      <c r="BT208" s="268"/>
    </row>
    <row r="209" s="27" customFormat="1" spans="1:72">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c r="AC209" s="130"/>
      <c r="AD209" s="130"/>
      <c r="AE209" s="130"/>
      <c r="AF209" s="130"/>
      <c r="AG209" s="130"/>
      <c r="AH209" s="130"/>
      <c r="AI209" s="130"/>
      <c r="AJ209" s="130"/>
      <c r="AK209" s="130"/>
      <c r="AL209" s="130"/>
      <c r="AM209" s="130"/>
      <c r="AN209" s="130"/>
      <c r="AO209" s="130"/>
      <c r="AP209" s="130"/>
      <c r="AQ209" s="130"/>
      <c r="AR209" s="130"/>
      <c r="AS209" s="130"/>
      <c r="AT209" s="130"/>
      <c r="AU209" s="130"/>
      <c r="AV209" s="130"/>
      <c r="AW209" s="130"/>
      <c r="AX209" s="130"/>
      <c r="AY209" s="130"/>
      <c r="AZ209" s="130"/>
      <c r="BA209" s="130"/>
      <c r="BB209" s="130"/>
      <c r="BI209" s="35"/>
      <c r="BJ209" s="35"/>
      <c r="BK209" s="35"/>
      <c r="BL209" s="35"/>
      <c r="BM209" s="35"/>
      <c r="BN209" s="35"/>
      <c r="BO209" s="35"/>
      <c r="BP209" s="35"/>
      <c r="BQ209" s="35"/>
      <c r="BR209" s="35"/>
      <c r="BS209" s="35"/>
      <c r="BT209" s="268"/>
    </row>
    <row r="210" s="27" customFormat="1" spans="1:72">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c r="AC210" s="130"/>
      <c r="AD210" s="130"/>
      <c r="AE210" s="130"/>
      <c r="AF210" s="130"/>
      <c r="AG210" s="130"/>
      <c r="AH210" s="130"/>
      <c r="AI210" s="130"/>
      <c r="AJ210" s="130"/>
      <c r="AK210" s="130"/>
      <c r="AL210" s="130"/>
      <c r="AM210" s="130"/>
      <c r="AN210" s="130"/>
      <c r="AO210" s="130"/>
      <c r="AP210" s="130"/>
      <c r="AQ210" s="130"/>
      <c r="AR210" s="130"/>
      <c r="AS210" s="130"/>
      <c r="AT210" s="130"/>
      <c r="AU210" s="130"/>
      <c r="AV210" s="130"/>
      <c r="AW210" s="130"/>
      <c r="AX210" s="130"/>
      <c r="AY210" s="130"/>
      <c r="AZ210" s="130"/>
      <c r="BA210" s="130"/>
      <c r="BB210" s="130"/>
      <c r="BI210" s="35"/>
      <c r="BJ210" s="35"/>
      <c r="BK210" s="35"/>
      <c r="BL210" s="35"/>
      <c r="BM210" s="35"/>
      <c r="BN210" s="35"/>
      <c r="BO210" s="35"/>
      <c r="BP210" s="35"/>
      <c r="BQ210" s="35"/>
      <c r="BR210" s="35"/>
      <c r="BS210" s="35"/>
      <c r="BT210" s="268"/>
    </row>
    <row r="211" s="27" customFormat="1" spans="1:72">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c r="AC211" s="130"/>
      <c r="AD211" s="130"/>
      <c r="AE211" s="130"/>
      <c r="AF211" s="130"/>
      <c r="AG211" s="130"/>
      <c r="AH211" s="130"/>
      <c r="AI211" s="130"/>
      <c r="AJ211" s="130"/>
      <c r="AK211" s="130"/>
      <c r="AL211" s="130"/>
      <c r="AM211" s="130"/>
      <c r="AN211" s="130"/>
      <c r="AO211" s="130"/>
      <c r="AP211" s="130"/>
      <c r="AQ211" s="130"/>
      <c r="AR211" s="130"/>
      <c r="AS211" s="130"/>
      <c r="AT211" s="130"/>
      <c r="AU211" s="130"/>
      <c r="AV211" s="130"/>
      <c r="AW211" s="130"/>
      <c r="AX211" s="130"/>
      <c r="AY211" s="130"/>
      <c r="AZ211" s="130"/>
      <c r="BA211" s="130"/>
      <c r="BB211" s="130"/>
      <c r="BI211" s="35"/>
      <c r="BJ211" s="35"/>
      <c r="BK211" s="35"/>
      <c r="BL211" s="35"/>
      <c r="BM211" s="35"/>
      <c r="BN211" s="35"/>
      <c r="BO211" s="35"/>
      <c r="BP211" s="35"/>
      <c r="BQ211" s="35"/>
      <c r="BR211" s="35"/>
      <c r="BS211" s="35"/>
      <c r="BT211" s="268"/>
    </row>
    <row r="212" s="27" customFormat="1" spans="1:72">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c r="AC212" s="130"/>
      <c r="AD212" s="130"/>
      <c r="AE212" s="130"/>
      <c r="AF212" s="130"/>
      <c r="AG212" s="130"/>
      <c r="AH212" s="130"/>
      <c r="AI212" s="130"/>
      <c r="AJ212" s="130"/>
      <c r="AK212" s="130"/>
      <c r="AL212" s="130"/>
      <c r="AM212" s="130"/>
      <c r="AN212" s="130"/>
      <c r="AO212" s="130"/>
      <c r="AP212" s="130"/>
      <c r="AQ212" s="130"/>
      <c r="AR212" s="130"/>
      <c r="AS212" s="130"/>
      <c r="AT212" s="130"/>
      <c r="AU212" s="130"/>
      <c r="AV212" s="130"/>
      <c r="AW212" s="130"/>
      <c r="AX212" s="130"/>
      <c r="AY212" s="130"/>
      <c r="AZ212" s="130"/>
      <c r="BA212" s="130"/>
      <c r="BB212" s="130"/>
      <c r="BI212" s="35"/>
      <c r="BJ212" s="35"/>
      <c r="BK212" s="35"/>
      <c r="BL212" s="35"/>
      <c r="BM212" s="35"/>
      <c r="BN212" s="35"/>
      <c r="BO212" s="35"/>
      <c r="BP212" s="35"/>
      <c r="BQ212" s="35"/>
      <c r="BR212" s="35"/>
      <c r="BS212" s="35"/>
      <c r="BT212" s="268"/>
    </row>
    <row r="213" s="27" customFormat="1" spans="1:72">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c r="AC213" s="130"/>
      <c r="AD213" s="130"/>
      <c r="AE213" s="130"/>
      <c r="AF213" s="130"/>
      <c r="AG213" s="130"/>
      <c r="AH213" s="130"/>
      <c r="AI213" s="130"/>
      <c r="AJ213" s="130"/>
      <c r="AK213" s="130"/>
      <c r="AL213" s="130"/>
      <c r="AM213" s="130"/>
      <c r="AN213" s="130"/>
      <c r="AO213" s="130"/>
      <c r="AP213" s="130"/>
      <c r="AQ213" s="130"/>
      <c r="AR213" s="130"/>
      <c r="AS213" s="130"/>
      <c r="AT213" s="130"/>
      <c r="AU213" s="130"/>
      <c r="AV213" s="130"/>
      <c r="AW213" s="130"/>
      <c r="AX213" s="130"/>
      <c r="AY213" s="130"/>
      <c r="AZ213" s="130"/>
      <c r="BA213" s="130"/>
      <c r="BB213" s="130"/>
      <c r="BI213" s="35"/>
      <c r="BJ213" s="35"/>
      <c r="BK213" s="35"/>
      <c r="BL213" s="35"/>
      <c r="BM213" s="35"/>
      <c r="BN213" s="35"/>
      <c r="BO213" s="35"/>
      <c r="BP213" s="35"/>
      <c r="BQ213" s="35"/>
      <c r="BR213" s="35"/>
      <c r="BS213" s="35"/>
      <c r="BT213" s="268"/>
    </row>
    <row r="214" s="27" customFormat="1" spans="1:72">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c r="AC214" s="130"/>
      <c r="AD214" s="130"/>
      <c r="AE214" s="130"/>
      <c r="AF214" s="130"/>
      <c r="AG214" s="130"/>
      <c r="AH214" s="130"/>
      <c r="AI214" s="130"/>
      <c r="AJ214" s="130"/>
      <c r="AK214" s="130"/>
      <c r="AL214" s="130"/>
      <c r="AM214" s="130"/>
      <c r="AN214" s="130"/>
      <c r="AO214" s="130"/>
      <c r="AP214" s="130"/>
      <c r="AQ214" s="130"/>
      <c r="AR214" s="130"/>
      <c r="AS214" s="130"/>
      <c r="AT214" s="130"/>
      <c r="AU214" s="130"/>
      <c r="AV214" s="130"/>
      <c r="AW214" s="130"/>
      <c r="AX214" s="130"/>
      <c r="AY214" s="130"/>
      <c r="AZ214" s="130"/>
      <c r="BA214" s="130"/>
      <c r="BB214" s="130"/>
      <c r="BI214" s="35"/>
      <c r="BJ214" s="35"/>
      <c r="BK214" s="35"/>
      <c r="BL214" s="35"/>
      <c r="BM214" s="35"/>
      <c r="BN214" s="35"/>
      <c r="BO214" s="35"/>
      <c r="BP214" s="35"/>
      <c r="BQ214" s="35"/>
      <c r="BR214" s="35"/>
      <c r="BS214" s="35"/>
      <c r="BT214" s="268"/>
    </row>
    <row r="215" s="27" customFormat="1" spans="1:72">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c r="AC215" s="130"/>
      <c r="AD215" s="130"/>
      <c r="AE215" s="130"/>
      <c r="AF215" s="130"/>
      <c r="AG215" s="130"/>
      <c r="AH215" s="130"/>
      <c r="AI215" s="130"/>
      <c r="AJ215" s="130"/>
      <c r="AK215" s="130"/>
      <c r="AL215" s="130"/>
      <c r="AM215" s="130"/>
      <c r="AN215" s="130"/>
      <c r="AO215" s="130"/>
      <c r="AP215" s="130"/>
      <c r="AQ215" s="130"/>
      <c r="AR215" s="130"/>
      <c r="AS215" s="130"/>
      <c r="AT215" s="130"/>
      <c r="AU215" s="130"/>
      <c r="AV215" s="130"/>
      <c r="AW215" s="130"/>
      <c r="AX215" s="130"/>
      <c r="AY215" s="130"/>
      <c r="AZ215" s="130"/>
      <c r="BA215" s="130"/>
      <c r="BB215" s="130"/>
      <c r="BI215" s="35"/>
      <c r="BJ215" s="35"/>
      <c r="BK215" s="35"/>
      <c r="BL215" s="35"/>
      <c r="BM215" s="35"/>
      <c r="BN215" s="35"/>
      <c r="BO215" s="35"/>
      <c r="BP215" s="35"/>
      <c r="BQ215" s="35"/>
      <c r="BR215" s="35"/>
      <c r="BS215" s="35"/>
      <c r="BT215" s="268"/>
    </row>
    <row r="216" s="27" customFormat="1" spans="1:72">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c r="AC216" s="130"/>
      <c r="AD216" s="130"/>
      <c r="AE216" s="130"/>
      <c r="AF216" s="130"/>
      <c r="AG216" s="130"/>
      <c r="AH216" s="130"/>
      <c r="AI216" s="130"/>
      <c r="AJ216" s="130"/>
      <c r="AK216" s="130"/>
      <c r="AL216" s="130"/>
      <c r="AM216" s="130"/>
      <c r="AN216" s="130"/>
      <c r="AO216" s="130"/>
      <c r="AP216" s="130"/>
      <c r="AQ216" s="130"/>
      <c r="AR216" s="130"/>
      <c r="AS216" s="130"/>
      <c r="AT216" s="130"/>
      <c r="AU216" s="130"/>
      <c r="AV216" s="130"/>
      <c r="AW216" s="130"/>
      <c r="AX216" s="130"/>
      <c r="AY216" s="130"/>
      <c r="AZ216" s="130"/>
      <c r="BA216" s="130"/>
      <c r="BB216" s="130"/>
      <c r="BI216" s="35"/>
      <c r="BJ216" s="35"/>
      <c r="BK216" s="35"/>
      <c r="BL216" s="35"/>
      <c r="BM216" s="35"/>
      <c r="BN216" s="35"/>
      <c r="BO216" s="35"/>
      <c r="BP216" s="35"/>
      <c r="BQ216" s="35"/>
      <c r="BR216" s="35"/>
      <c r="BS216" s="35"/>
      <c r="BT216" s="268"/>
    </row>
    <row r="217" s="27" customFormat="1" spans="1:72">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c r="AC217" s="130"/>
      <c r="AD217" s="130"/>
      <c r="AE217" s="130"/>
      <c r="AF217" s="130"/>
      <c r="AG217" s="130"/>
      <c r="AH217" s="130"/>
      <c r="AI217" s="130"/>
      <c r="AJ217" s="130"/>
      <c r="AK217" s="130"/>
      <c r="AL217" s="130"/>
      <c r="AM217" s="130"/>
      <c r="AN217" s="130"/>
      <c r="AO217" s="130"/>
      <c r="AP217" s="130"/>
      <c r="AQ217" s="130"/>
      <c r="AR217" s="130"/>
      <c r="AS217" s="130"/>
      <c r="AT217" s="130"/>
      <c r="AU217" s="130"/>
      <c r="AV217" s="130"/>
      <c r="AW217" s="130"/>
      <c r="AX217" s="130"/>
      <c r="AY217" s="130"/>
      <c r="AZ217" s="130"/>
      <c r="BA217" s="130"/>
      <c r="BB217" s="130"/>
      <c r="BI217" s="35"/>
      <c r="BJ217" s="35"/>
      <c r="BK217" s="35"/>
      <c r="BL217" s="35"/>
      <c r="BM217" s="35"/>
      <c r="BN217" s="35"/>
      <c r="BO217" s="35"/>
      <c r="BP217" s="35"/>
      <c r="BQ217" s="35"/>
      <c r="BR217" s="35"/>
      <c r="BS217" s="35"/>
      <c r="BT217" s="268"/>
    </row>
    <row r="218" s="27" customFormat="1" spans="1:72">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c r="AO218" s="130"/>
      <c r="AP218" s="130"/>
      <c r="AQ218" s="130"/>
      <c r="AR218" s="130"/>
      <c r="AS218" s="130"/>
      <c r="AT218" s="130"/>
      <c r="AU218" s="130"/>
      <c r="AV218" s="130"/>
      <c r="AW218" s="130"/>
      <c r="AX218" s="130"/>
      <c r="AY218" s="130"/>
      <c r="AZ218" s="130"/>
      <c r="BA218" s="130"/>
      <c r="BB218" s="130"/>
      <c r="BI218" s="35"/>
      <c r="BJ218" s="35"/>
      <c r="BK218" s="35"/>
      <c r="BL218" s="35"/>
      <c r="BM218" s="35"/>
      <c r="BN218" s="35"/>
      <c r="BO218" s="35"/>
      <c r="BP218" s="35"/>
      <c r="BQ218" s="35"/>
      <c r="BR218" s="35"/>
      <c r="BS218" s="35"/>
      <c r="BT218" s="268"/>
    </row>
    <row r="219" s="27" customFormat="1" spans="1:72">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c r="AC219" s="130"/>
      <c r="AD219" s="130"/>
      <c r="AE219" s="130"/>
      <c r="AF219" s="130"/>
      <c r="AG219" s="130"/>
      <c r="AH219" s="130"/>
      <c r="AI219" s="130"/>
      <c r="AJ219" s="130"/>
      <c r="AK219" s="130"/>
      <c r="AL219" s="130"/>
      <c r="AM219" s="130"/>
      <c r="AN219" s="130"/>
      <c r="AO219" s="130"/>
      <c r="AP219" s="130"/>
      <c r="AQ219" s="130"/>
      <c r="AR219" s="130"/>
      <c r="AS219" s="130"/>
      <c r="AT219" s="130"/>
      <c r="AU219" s="130"/>
      <c r="AV219" s="130"/>
      <c r="AW219" s="130"/>
      <c r="AX219" s="130"/>
      <c r="AY219" s="130"/>
      <c r="AZ219" s="130"/>
      <c r="BA219" s="130"/>
      <c r="BB219" s="130"/>
      <c r="BI219" s="35"/>
      <c r="BJ219" s="35"/>
      <c r="BK219" s="35"/>
      <c r="BL219" s="35"/>
      <c r="BM219" s="35"/>
      <c r="BN219" s="35"/>
      <c r="BO219" s="35"/>
      <c r="BP219" s="35"/>
      <c r="BQ219" s="35"/>
      <c r="BR219" s="35"/>
      <c r="BS219" s="35"/>
      <c r="BT219" s="268"/>
    </row>
    <row r="220" s="27" customFormat="1" spans="1:72">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c r="AC220" s="130"/>
      <c r="AD220" s="130"/>
      <c r="AE220" s="130"/>
      <c r="AF220" s="130"/>
      <c r="AG220" s="130"/>
      <c r="AH220" s="130"/>
      <c r="AI220" s="130"/>
      <c r="AJ220" s="130"/>
      <c r="AK220" s="130"/>
      <c r="AL220" s="130"/>
      <c r="AM220" s="130"/>
      <c r="AN220" s="130"/>
      <c r="AO220" s="130"/>
      <c r="AP220" s="130"/>
      <c r="AQ220" s="130"/>
      <c r="AR220" s="130"/>
      <c r="AS220" s="130"/>
      <c r="AT220" s="130"/>
      <c r="AU220" s="130"/>
      <c r="AV220" s="130"/>
      <c r="AW220" s="130"/>
      <c r="AX220" s="130"/>
      <c r="AY220" s="130"/>
      <c r="AZ220" s="130"/>
      <c r="BA220" s="130"/>
      <c r="BB220" s="130"/>
      <c r="BI220" s="35"/>
      <c r="BJ220" s="35"/>
      <c r="BK220" s="35"/>
      <c r="BL220" s="35"/>
      <c r="BM220" s="35"/>
      <c r="BN220" s="35"/>
      <c r="BO220" s="35"/>
      <c r="BP220" s="35"/>
      <c r="BQ220" s="35"/>
      <c r="BR220" s="35"/>
      <c r="BS220" s="35"/>
      <c r="BT220" s="268"/>
    </row>
    <row r="221" s="27" customFormat="1" spans="1:72">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c r="AC221" s="130"/>
      <c r="AD221" s="130"/>
      <c r="AE221" s="130"/>
      <c r="AF221" s="130"/>
      <c r="AG221" s="130"/>
      <c r="AH221" s="130"/>
      <c r="AI221" s="130"/>
      <c r="AJ221" s="130"/>
      <c r="AK221" s="130"/>
      <c r="AL221" s="130"/>
      <c r="AM221" s="130"/>
      <c r="AN221" s="130"/>
      <c r="AO221" s="130"/>
      <c r="AP221" s="130"/>
      <c r="AQ221" s="130"/>
      <c r="AR221" s="130"/>
      <c r="AS221" s="130"/>
      <c r="AT221" s="130"/>
      <c r="AU221" s="130"/>
      <c r="AV221" s="130"/>
      <c r="AW221" s="130"/>
      <c r="AX221" s="130"/>
      <c r="AY221" s="130"/>
      <c r="AZ221" s="130"/>
      <c r="BA221" s="130"/>
      <c r="BB221" s="130"/>
      <c r="BI221" s="35"/>
      <c r="BJ221" s="35"/>
      <c r="BK221" s="35"/>
      <c r="BL221" s="35"/>
      <c r="BM221" s="35"/>
      <c r="BN221" s="35"/>
      <c r="BO221" s="35"/>
      <c r="BP221" s="35"/>
      <c r="BQ221" s="35"/>
      <c r="BR221" s="35"/>
      <c r="BS221" s="35"/>
      <c r="BT221" s="268"/>
    </row>
    <row r="222" s="27" customFormat="1" spans="1:72">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c r="AC222" s="130"/>
      <c r="AD222" s="130"/>
      <c r="AE222" s="130"/>
      <c r="AF222" s="130"/>
      <c r="AG222" s="130"/>
      <c r="AH222" s="130"/>
      <c r="AI222" s="130"/>
      <c r="AJ222" s="130"/>
      <c r="AK222" s="130"/>
      <c r="AL222" s="130"/>
      <c r="AM222" s="130"/>
      <c r="AN222" s="130"/>
      <c r="AO222" s="130"/>
      <c r="AP222" s="130"/>
      <c r="AQ222" s="130"/>
      <c r="AR222" s="130"/>
      <c r="AS222" s="130"/>
      <c r="AT222" s="130"/>
      <c r="AU222" s="130"/>
      <c r="AV222" s="130"/>
      <c r="AW222" s="130"/>
      <c r="AX222" s="130"/>
      <c r="AY222" s="130"/>
      <c r="AZ222" s="130"/>
      <c r="BA222" s="130"/>
      <c r="BB222" s="130"/>
      <c r="BI222" s="35"/>
      <c r="BJ222" s="35"/>
      <c r="BK222" s="35"/>
      <c r="BL222" s="35"/>
      <c r="BM222" s="35"/>
      <c r="BN222" s="35"/>
      <c r="BO222" s="35"/>
      <c r="BP222" s="35"/>
      <c r="BQ222" s="35"/>
      <c r="BR222" s="35"/>
      <c r="BS222" s="35"/>
      <c r="BT222" s="268"/>
    </row>
    <row r="223" s="27" customFormat="1" spans="1:72">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c r="AA223" s="130"/>
      <c r="AB223" s="130"/>
      <c r="AC223" s="130"/>
      <c r="AD223" s="130"/>
      <c r="AE223" s="130"/>
      <c r="AF223" s="130"/>
      <c r="AG223" s="130"/>
      <c r="AH223" s="130"/>
      <c r="AI223" s="130"/>
      <c r="AJ223" s="130"/>
      <c r="AK223" s="130"/>
      <c r="AL223" s="130"/>
      <c r="AM223" s="130"/>
      <c r="AN223" s="130"/>
      <c r="AO223" s="130"/>
      <c r="AP223" s="130"/>
      <c r="AQ223" s="130"/>
      <c r="AR223" s="130"/>
      <c r="AS223" s="130"/>
      <c r="AT223" s="130"/>
      <c r="AU223" s="130"/>
      <c r="AV223" s="130"/>
      <c r="AW223" s="130"/>
      <c r="AX223" s="130"/>
      <c r="AY223" s="130"/>
      <c r="AZ223" s="130"/>
      <c r="BA223" s="130"/>
      <c r="BB223" s="130"/>
      <c r="BI223" s="35"/>
      <c r="BJ223" s="35"/>
      <c r="BK223" s="35"/>
      <c r="BL223" s="35"/>
      <c r="BM223" s="35"/>
      <c r="BN223" s="35"/>
      <c r="BO223" s="35"/>
      <c r="BP223" s="35"/>
      <c r="BQ223" s="35"/>
      <c r="BR223" s="35"/>
      <c r="BS223" s="35"/>
      <c r="BT223" s="268"/>
    </row>
    <row r="224" s="27" customFormat="1" spans="1:72">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c r="W224" s="130"/>
      <c r="X224" s="130"/>
      <c r="Y224" s="130"/>
      <c r="Z224" s="130"/>
      <c r="AA224" s="130"/>
      <c r="AB224" s="130"/>
      <c r="AC224" s="130"/>
      <c r="AD224" s="130"/>
      <c r="AE224" s="130"/>
      <c r="AF224" s="130"/>
      <c r="AG224" s="130"/>
      <c r="AH224" s="130"/>
      <c r="AI224" s="130"/>
      <c r="AJ224" s="130"/>
      <c r="AK224" s="130"/>
      <c r="AL224" s="130"/>
      <c r="AM224" s="130"/>
      <c r="AN224" s="130"/>
      <c r="AO224" s="130"/>
      <c r="AP224" s="130"/>
      <c r="AQ224" s="130"/>
      <c r="AR224" s="130"/>
      <c r="AS224" s="130"/>
      <c r="AT224" s="130"/>
      <c r="AU224" s="130"/>
      <c r="AV224" s="130"/>
      <c r="AW224" s="130"/>
      <c r="AX224" s="130"/>
      <c r="AY224" s="130"/>
      <c r="AZ224" s="130"/>
      <c r="BA224" s="130"/>
      <c r="BB224" s="130"/>
      <c r="BI224" s="35"/>
      <c r="BJ224" s="35"/>
      <c r="BK224" s="35"/>
      <c r="BL224" s="35"/>
      <c r="BM224" s="35"/>
      <c r="BN224" s="35"/>
      <c r="BO224" s="35"/>
      <c r="BP224" s="35"/>
      <c r="BQ224" s="35"/>
      <c r="BR224" s="35"/>
      <c r="BS224" s="35"/>
      <c r="BT224" s="268"/>
    </row>
    <row r="225" s="27" customFormat="1" spans="1:72">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c r="W225" s="130"/>
      <c r="X225" s="130"/>
      <c r="Y225" s="130"/>
      <c r="Z225" s="130"/>
      <c r="AA225" s="130"/>
      <c r="AB225" s="130"/>
      <c r="AC225" s="130"/>
      <c r="AD225" s="130"/>
      <c r="AE225" s="130"/>
      <c r="AF225" s="130"/>
      <c r="AG225" s="130"/>
      <c r="AH225" s="130"/>
      <c r="AI225" s="130"/>
      <c r="AJ225" s="130"/>
      <c r="AK225" s="130"/>
      <c r="AL225" s="130"/>
      <c r="AM225" s="130"/>
      <c r="AN225" s="130"/>
      <c r="AO225" s="130"/>
      <c r="AP225" s="130"/>
      <c r="AQ225" s="130"/>
      <c r="AR225" s="130"/>
      <c r="AS225" s="130"/>
      <c r="AT225" s="130"/>
      <c r="AU225" s="130"/>
      <c r="AV225" s="130"/>
      <c r="AW225" s="130"/>
      <c r="AX225" s="130"/>
      <c r="AY225" s="130"/>
      <c r="AZ225" s="130"/>
      <c r="BA225" s="130"/>
      <c r="BB225" s="130"/>
      <c r="BI225" s="35"/>
      <c r="BJ225" s="35"/>
      <c r="BK225" s="35"/>
      <c r="BL225" s="35"/>
      <c r="BM225" s="35"/>
      <c r="BN225" s="35"/>
      <c r="BO225" s="35"/>
      <c r="BP225" s="35"/>
      <c r="BQ225" s="35"/>
      <c r="BR225" s="35"/>
      <c r="BS225" s="35"/>
      <c r="BT225" s="268"/>
    </row>
    <row r="226" s="27" customFormat="1" spans="1:72">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c r="AA226" s="130"/>
      <c r="AB226" s="130"/>
      <c r="AC226" s="130"/>
      <c r="AD226" s="130"/>
      <c r="AE226" s="130"/>
      <c r="AF226" s="130"/>
      <c r="AG226" s="130"/>
      <c r="AH226" s="130"/>
      <c r="AI226" s="130"/>
      <c r="AJ226" s="130"/>
      <c r="AK226" s="130"/>
      <c r="AL226" s="130"/>
      <c r="AM226" s="130"/>
      <c r="AN226" s="130"/>
      <c r="AO226" s="130"/>
      <c r="AP226" s="130"/>
      <c r="AQ226" s="130"/>
      <c r="AR226" s="130"/>
      <c r="AS226" s="130"/>
      <c r="AT226" s="130"/>
      <c r="AU226" s="130"/>
      <c r="AV226" s="130"/>
      <c r="AW226" s="130"/>
      <c r="AX226" s="130"/>
      <c r="AY226" s="130"/>
      <c r="AZ226" s="130"/>
      <c r="BA226" s="130"/>
      <c r="BB226" s="130"/>
      <c r="BI226" s="35"/>
      <c r="BJ226" s="35"/>
      <c r="BK226" s="35"/>
      <c r="BL226" s="35"/>
      <c r="BM226" s="35"/>
      <c r="BN226" s="35"/>
      <c r="BO226" s="35"/>
      <c r="BP226" s="35"/>
      <c r="BQ226" s="35"/>
      <c r="BR226" s="35"/>
      <c r="BS226" s="35"/>
      <c r="BT226" s="268"/>
    </row>
    <row r="227" s="27" customFormat="1" spans="1:72">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c r="AA227" s="130"/>
      <c r="AB227" s="130"/>
      <c r="AC227" s="130"/>
      <c r="AD227" s="130"/>
      <c r="AE227" s="130"/>
      <c r="AF227" s="130"/>
      <c r="AG227" s="130"/>
      <c r="AH227" s="130"/>
      <c r="AI227" s="130"/>
      <c r="AJ227" s="130"/>
      <c r="AK227" s="130"/>
      <c r="AL227" s="130"/>
      <c r="AM227" s="130"/>
      <c r="AN227" s="130"/>
      <c r="AO227" s="130"/>
      <c r="AP227" s="130"/>
      <c r="AQ227" s="130"/>
      <c r="AR227" s="130"/>
      <c r="AS227" s="130"/>
      <c r="AT227" s="130"/>
      <c r="AU227" s="130"/>
      <c r="AV227" s="130"/>
      <c r="AW227" s="130"/>
      <c r="AX227" s="130"/>
      <c r="AY227" s="130"/>
      <c r="AZ227" s="130"/>
      <c r="BA227" s="130"/>
      <c r="BB227" s="130"/>
      <c r="BI227" s="35"/>
      <c r="BJ227" s="35"/>
      <c r="BK227" s="35"/>
      <c r="BL227" s="35"/>
      <c r="BM227" s="35"/>
      <c r="BN227" s="35"/>
      <c r="BO227" s="35"/>
      <c r="BP227" s="35"/>
      <c r="BQ227" s="35"/>
      <c r="BR227" s="35"/>
      <c r="BS227" s="35"/>
      <c r="BT227" s="268"/>
    </row>
    <row r="228" s="27" customFormat="1" spans="1:72">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c r="AA228" s="130"/>
      <c r="AB228" s="130"/>
      <c r="AC228" s="130"/>
      <c r="AD228" s="130"/>
      <c r="AE228" s="130"/>
      <c r="AF228" s="130"/>
      <c r="AG228" s="130"/>
      <c r="AH228" s="130"/>
      <c r="AI228" s="130"/>
      <c r="AJ228" s="130"/>
      <c r="AK228" s="130"/>
      <c r="AL228" s="130"/>
      <c r="AM228" s="130"/>
      <c r="AN228" s="130"/>
      <c r="AO228" s="130"/>
      <c r="AP228" s="130"/>
      <c r="AQ228" s="130"/>
      <c r="AR228" s="130"/>
      <c r="AS228" s="130"/>
      <c r="AT228" s="130"/>
      <c r="AU228" s="130"/>
      <c r="AV228" s="130"/>
      <c r="AW228" s="130"/>
      <c r="AX228" s="130"/>
      <c r="AY228" s="130"/>
      <c r="AZ228" s="130"/>
      <c r="BA228" s="130"/>
      <c r="BB228" s="130"/>
      <c r="BI228" s="35"/>
      <c r="BJ228" s="35"/>
      <c r="BK228" s="35"/>
      <c r="BL228" s="35"/>
      <c r="BM228" s="35"/>
      <c r="BN228" s="35"/>
      <c r="BO228" s="35"/>
      <c r="BP228" s="35"/>
      <c r="BQ228" s="35"/>
      <c r="BR228" s="35"/>
      <c r="BS228" s="35"/>
      <c r="BT228" s="268"/>
    </row>
    <row r="229" s="27" customFormat="1" spans="1:72">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c r="W229" s="130"/>
      <c r="X229" s="130"/>
      <c r="Y229" s="130"/>
      <c r="Z229" s="130"/>
      <c r="AA229" s="130"/>
      <c r="AB229" s="130"/>
      <c r="AC229" s="130"/>
      <c r="AD229" s="130"/>
      <c r="AE229" s="130"/>
      <c r="AF229" s="130"/>
      <c r="AG229" s="130"/>
      <c r="AH229" s="130"/>
      <c r="AI229" s="130"/>
      <c r="AJ229" s="130"/>
      <c r="AK229" s="130"/>
      <c r="AL229" s="130"/>
      <c r="AM229" s="130"/>
      <c r="AN229" s="130"/>
      <c r="AO229" s="130"/>
      <c r="AP229" s="130"/>
      <c r="AQ229" s="130"/>
      <c r="AR229" s="130"/>
      <c r="AS229" s="130"/>
      <c r="AT229" s="130"/>
      <c r="AU229" s="130"/>
      <c r="AV229" s="130"/>
      <c r="AW229" s="130"/>
      <c r="AX229" s="130"/>
      <c r="AY229" s="130"/>
      <c r="AZ229" s="130"/>
      <c r="BA229" s="130"/>
      <c r="BB229" s="130"/>
      <c r="BI229" s="35"/>
      <c r="BJ229" s="35"/>
      <c r="BK229" s="35"/>
      <c r="BL229" s="35"/>
      <c r="BM229" s="35"/>
      <c r="BN229" s="35"/>
      <c r="BO229" s="35"/>
      <c r="BP229" s="35"/>
      <c r="BQ229" s="35"/>
      <c r="BR229" s="35"/>
      <c r="BS229" s="35"/>
      <c r="BT229" s="268"/>
    </row>
    <row r="230" s="27" customFormat="1" spans="1:72">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c r="AA230" s="130"/>
      <c r="AB230" s="130"/>
      <c r="AC230" s="130"/>
      <c r="AD230" s="130"/>
      <c r="AE230" s="130"/>
      <c r="AF230" s="130"/>
      <c r="AG230" s="130"/>
      <c r="AH230" s="130"/>
      <c r="AI230" s="130"/>
      <c r="AJ230" s="130"/>
      <c r="AK230" s="130"/>
      <c r="AL230" s="130"/>
      <c r="AM230" s="130"/>
      <c r="AN230" s="130"/>
      <c r="AO230" s="130"/>
      <c r="AP230" s="130"/>
      <c r="AQ230" s="130"/>
      <c r="AR230" s="130"/>
      <c r="AS230" s="130"/>
      <c r="AT230" s="130"/>
      <c r="AU230" s="130"/>
      <c r="AV230" s="130"/>
      <c r="AW230" s="130"/>
      <c r="AX230" s="130"/>
      <c r="AY230" s="130"/>
      <c r="AZ230" s="130"/>
      <c r="BA230" s="130"/>
      <c r="BB230" s="130"/>
      <c r="BI230" s="35"/>
      <c r="BJ230" s="35"/>
      <c r="BK230" s="35"/>
      <c r="BL230" s="35"/>
      <c r="BM230" s="35"/>
      <c r="BN230" s="35"/>
      <c r="BO230" s="35"/>
      <c r="BP230" s="35"/>
      <c r="BQ230" s="35"/>
      <c r="BR230" s="35"/>
      <c r="BS230" s="35"/>
      <c r="BT230" s="268"/>
    </row>
    <row r="231" s="27" customFormat="1" spans="1:72">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c r="W231" s="130"/>
      <c r="X231" s="130"/>
      <c r="Y231" s="130"/>
      <c r="Z231" s="130"/>
      <c r="AA231" s="130"/>
      <c r="AB231" s="130"/>
      <c r="AC231" s="130"/>
      <c r="AD231" s="130"/>
      <c r="AE231" s="130"/>
      <c r="AF231" s="130"/>
      <c r="AG231" s="130"/>
      <c r="AH231" s="130"/>
      <c r="AI231" s="130"/>
      <c r="AJ231" s="130"/>
      <c r="AK231" s="130"/>
      <c r="AL231" s="130"/>
      <c r="AM231" s="130"/>
      <c r="AN231" s="130"/>
      <c r="AO231" s="130"/>
      <c r="AP231" s="130"/>
      <c r="AQ231" s="130"/>
      <c r="AR231" s="130"/>
      <c r="AS231" s="130"/>
      <c r="AT231" s="130"/>
      <c r="AU231" s="130"/>
      <c r="AV231" s="130"/>
      <c r="AW231" s="130"/>
      <c r="AX231" s="130"/>
      <c r="AY231" s="130"/>
      <c r="AZ231" s="130"/>
      <c r="BA231" s="130"/>
      <c r="BB231" s="130"/>
      <c r="BI231" s="35"/>
      <c r="BJ231" s="35"/>
      <c r="BK231" s="35"/>
      <c r="BL231" s="35"/>
      <c r="BM231" s="35"/>
      <c r="BN231" s="35"/>
      <c r="BO231" s="35"/>
      <c r="BP231" s="35"/>
      <c r="BQ231" s="35"/>
      <c r="BR231" s="35"/>
      <c r="BS231" s="35"/>
      <c r="BT231" s="268"/>
    </row>
    <row r="232" s="27" customFormat="1" spans="1:72">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c r="W232" s="130"/>
      <c r="X232" s="130"/>
      <c r="Y232" s="130"/>
      <c r="Z232" s="130"/>
      <c r="AA232" s="130"/>
      <c r="AB232" s="130"/>
      <c r="AC232" s="130"/>
      <c r="AD232" s="130"/>
      <c r="AE232" s="130"/>
      <c r="AF232" s="130"/>
      <c r="AG232" s="130"/>
      <c r="AH232" s="130"/>
      <c r="AI232" s="130"/>
      <c r="AJ232" s="130"/>
      <c r="AK232" s="130"/>
      <c r="AL232" s="130"/>
      <c r="AM232" s="130"/>
      <c r="AN232" s="130"/>
      <c r="AO232" s="130"/>
      <c r="AP232" s="130"/>
      <c r="AQ232" s="130"/>
      <c r="AR232" s="130"/>
      <c r="AS232" s="130"/>
      <c r="AT232" s="130"/>
      <c r="AU232" s="130"/>
      <c r="AV232" s="130"/>
      <c r="AW232" s="130"/>
      <c r="AX232" s="130"/>
      <c r="AY232" s="130"/>
      <c r="AZ232" s="130"/>
      <c r="BA232" s="130"/>
      <c r="BB232" s="130"/>
      <c r="BI232" s="35"/>
      <c r="BJ232" s="35"/>
      <c r="BK232" s="35"/>
      <c r="BL232" s="35"/>
      <c r="BM232" s="35"/>
      <c r="BN232" s="35"/>
      <c r="BO232" s="35"/>
      <c r="BP232" s="35"/>
      <c r="BQ232" s="35"/>
      <c r="BR232" s="35"/>
      <c r="BS232" s="35"/>
      <c r="BT232" s="268"/>
    </row>
    <row r="233" s="27" customFormat="1" spans="1:72">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c r="W233" s="130"/>
      <c r="X233" s="130"/>
      <c r="Y233" s="130"/>
      <c r="Z233" s="130"/>
      <c r="AA233" s="130"/>
      <c r="AB233" s="130"/>
      <c r="AC233" s="130"/>
      <c r="AD233" s="130"/>
      <c r="AE233" s="130"/>
      <c r="AF233" s="130"/>
      <c r="AG233" s="130"/>
      <c r="AH233" s="130"/>
      <c r="AI233" s="130"/>
      <c r="AJ233" s="130"/>
      <c r="AK233" s="130"/>
      <c r="AL233" s="130"/>
      <c r="AM233" s="130"/>
      <c r="AN233" s="130"/>
      <c r="AO233" s="130"/>
      <c r="AP233" s="130"/>
      <c r="AQ233" s="130"/>
      <c r="AR233" s="130"/>
      <c r="AS233" s="130"/>
      <c r="AT233" s="130"/>
      <c r="AU233" s="130"/>
      <c r="AV233" s="130"/>
      <c r="AW233" s="130"/>
      <c r="AX233" s="130"/>
      <c r="AY233" s="130"/>
      <c r="AZ233" s="130"/>
      <c r="BA233" s="130"/>
      <c r="BB233" s="130"/>
      <c r="BI233" s="35"/>
      <c r="BJ233" s="35"/>
      <c r="BK233" s="35"/>
      <c r="BL233" s="35"/>
      <c r="BM233" s="35"/>
      <c r="BN233" s="35"/>
      <c r="BO233" s="35"/>
      <c r="BP233" s="35"/>
      <c r="BQ233" s="35"/>
      <c r="BR233" s="35"/>
      <c r="BS233" s="35"/>
      <c r="BT233" s="268"/>
    </row>
    <row r="234" s="27" customFormat="1" spans="1:72">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c r="AA234" s="130"/>
      <c r="AB234" s="130"/>
      <c r="AC234" s="130"/>
      <c r="AD234" s="130"/>
      <c r="AE234" s="130"/>
      <c r="AF234" s="130"/>
      <c r="AG234" s="130"/>
      <c r="AH234" s="130"/>
      <c r="AI234" s="130"/>
      <c r="AJ234" s="130"/>
      <c r="AK234" s="130"/>
      <c r="AL234" s="130"/>
      <c r="AM234" s="130"/>
      <c r="AN234" s="130"/>
      <c r="AO234" s="130"/>
      <c r="AP234" s="130"/>
      <c r="AQ234" s="130"/>
      <c r="AR234" s="130"/>
      <c r="AS234" s="130"/>
      <c r="AT234" s="130"/>
      <c r="AU234" s="130"/>
      <c r="AV234" s="130"/>
      <c r="AW234" s="130"/>
      <c r="AX234" s="130"/>
      <c r="AY234" s="130"/>
      <c r="AZ234" s="130"/>
      <c r="BA234" s="130"/>
      <c r="BB234" s="130"/>
      <c r="BI234" s="35"/>
      <c r="BJ234" s="35"/>
      <c r="BK234" s="35"/>
      <c r="BL234" s="35"/>
      <c r="BM234" s="35"/>
      <c r="BN234" s="35"/>
      <c r="BO234" s="35"/>
      <c r="BP234" s="35"/>
      <c r="BQ234" s="35"/>
      <c r="BR234" s="35"/>
      <c r="BS234" s="35"/>
      <c r="BT234" s="268"/>
    </row>
    <row r="235" s="27" customFormat="1" spans="1:72">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c r="AA235" s="130"/>
      <c r="AB235" s="130"/>
      <c r="AC235" s="130"/>
      <c r="AD235" s="130"/>
      <c r="AE235" s="130"/>
      <c r="AF235" s="130"/>
      <c r="AG235" s="130"/>
      <c r="AH235" s="130"/>
      <c r="AI235" s="130"/>
      <c r="AJ235" s="130"/>
      <c r="AK235" s="130"/>
      <c r="AL235" s="130"/>
      <c r="AM235" s="130"/>
      <c r="AN235" s="130"/>
      <c r="AO235" s="130"/>
      <c r="AP235" s="130"/>
      <c r="AQ235" s="130"/>
      <c r="AR235" s="130"/>
      <c r="AS235" s="130"/>
      <c r="AT235" s="130"/>
      <c r="AU235" s="130"/>
      <c r="AV235" s="130"/>
      <c r="AW235" s="130"/>
      <c r="AX235" s="130"/>
      <c r="AY235" s="130"/>
      <c r="AZ235" s="130"/>
      <c r="BA235" s="130"/>
      <c r="BB235" s="130"/>
      <c r="BI235" s="35"/>
      <c r="BJ235" s="35"/>
      <c r="BK235" s="35"/>
      <c r="BL235" s="35"/>
      <c r="BM235" s="35"/>
      <c r="BN235" s="35"/>
      <c r="BO235" s="35"/>
      <c r="BP235" s="35"/>
      <c r="BQ235" s="35"/>
      <c r="BR235" s="35"/>
      <c r="BS235" s="35"/>
      <c r="BT235" s="268"/>
    </row>
    <row r="236" s="27" customFormat="1" spans="1:72">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c r="W236" s="130"/>
      <c r="X236" s="130"/>
      <c r="Y236" s="130"/>
      <c r="Z236" s="130"/>
      <c r="AA236" s="130"/>
      <c r="AB236" s="130"/>
      <c r="AC236" s="130"/>
      <c r="AD236" s="130"/>
      <c r="AE236" s="130"/>
      <c r="AF236" s="130"/>
      <c r="AG236" s="130"/>
      <c r="AH236" s="130"/>
      <c r="AI236" s="130"/>
      <c r="AJ236" s="130"/>
      <c r="AK236" s="130"/>
      <c r="AL236" s="130"/>
      <c r="AM236" s="130"/>
      <c r="AN236" s="130"/>
      <c r="AO236" s="130"/>
      <c r="AP236" s="130"/>
      <c r="AQ236" s="130"/>
      <c r="AR236" s="130"/>
      <c r="AS236" s="130"/>
      <c r="AT236" s="130"/>
      <c r="AU236" s="130"/>
      <c r="AV236" s="130"/>
      <c r="AW236" s="130"/>
      <c r="AX236" s="130"/>
      <c r="AY236" s="130"/>
      <c r="AZ236" s="130"/>
      <c r="BA236" s="130"/>
      <c r="BB236" s="130"/>
      <c r="BI236" s="35"/>
      <c r="BJ236" s="35"/>
      <c r="BK236" s="35"/>
      <c r="BL236" s="35"/>
      <c r="BM236" s="35"/>
      <c r="BN236" s="35"/>
      <c r="BO236" s="35"/>
      <c r="BP236" s="35"/>
      <c r="BQ236" s="35"/>
      <c r="BR236" s="35"/>
      <c r="BS236" s="35"/>
      <c r="BT236" s="268"/>
    </row>
    <row r="237" s="27" customFormat="1" spans="1:72">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c r="AA237" s="130"/>
      <c r="AB237" s="130"/>
      <c r="AC237" s="130"/>
      <c r="AD237" s="130"/>
      <c r="AE237" s="130"/>
      <c r="AF237" s="130"/>
      <c r="AG237" s="130"/>
      <c r="AH237" s="130"/>
      <c r="AI237" s="130"/>
      <c r="AJ237" s="130"/>
      <c r="AK237" s="130"/>
      <c r="AL237" s="130"/>
      <c r="AM237" s="130"/>
      <c r="AN237" s="130"/>
      <c r="AO237" s="130"/>
      <c r="AP237" s="130"/>
      <c r="AQ237" s="130"/>
      <c r="AR237" s="130"/>
      <c r="AS237" s="130"/>
      <c r="AT237" s="130"/>
      <c r="AU237" s="130"/>
      <c r="AV237" s="130"/>
      <c r="AW237" s="130"/>
      <c r="AX237" s="130"/>
      <c r="AY237" s="130"/>
      <c r="AZ237" s="130"/>
      <c r="BA237" s="130"/>
      <c r="BB237" s="130"/>
      <c r="BI237" s="35"/>
      <c r="BJ237" s="35"/>
      <c r="BK237" s="35"/>
      <c r="BL237" s="35"/>
      <c r="BM237" s="35"/>
      <c r="BN237" s="35"/>
      <c r="BO237" s="35"/>
      <c r="BP237" s="35"/>
      <c r="BQ237" s="35"/>
      <c r="BR237" s="35"/>
      <c r="BS237" s="35"/>
      <c r="BT237" s="268"/>
    </row>
  </sheetData>
  <sheetProtection password="D01C" sheet="1" selectLockedCells="1" objects="1"/>
  <mergeCells count="597">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D31"/>
    <mergeCell ref="F31:G31"/>
    <mergeCell ref="H31:I31"/>
    <mergeCell ref="J31:K31"/>
    <mergeCell ref="L31:M31"/>
    <mergeCell ref="C32:D32"/>
    <mergeCell ref="F32:G32"/>
    <mergeCell ref="H32:I32"/>
    <mergeCell ref="J32:K32"/>
    <mergeCell ref="L32:M32"/>
    <mergeCell ref="C33:F33"/>
    <mergeCell ref="G33:I33"/>
    <mergeCell ref="J33:M33"/>
    <mergeCell ref="C34:F34"/>
    <mergeCell ref="G34:I34"/>
    <mergeCell ref="J34:M34"/>
    <mergeCell ref="C35:F35"/>
    <mergeCell ref="G35:I35"/>
    <mergeCell ref="J35:M35"/>
    <mergeCell ref="C36:F36"/>
    <mergeCell ref="G36:I36"/>
    <mergeCell ref="J36:M36"/>
    <mergeCell ref="C37:F37"/>
    <mergeCell ref="G37:I37"/>
    <mergeCell ref="J37:L37"/>
    <mergeCell ref="Q37:R37"/>
    <mergeCell ref="C38:F38"/>
    <mergeCell ref="G38:I38"/>
    <mergeCell ref="J38:L38"/>
    <mergeCell ref="Q38:R38"/>
    <mergeCell ref="C39:F39"/>
    <mergeCell ref="G39:I39"/>
    <mergeCell ref="J39:L39"/>
    <mergeCell ref="Q39:R39"/>
    <mergeCell ref="C40:F40"/>
    <mergeCell ref="G40:I40"/>
    <mergeCell ref="J40:L40"/>
    <mergeCell ref="Q40:R40"/>
    <mergeCell ref="C41:D41"/>
    <mergeCell ref="E41:F41"/>
    <mergeCell ref="G41:H41"/>
    <mergeCell ref="I41:J41"/>
    <mergeCell ref="K41:L41"/>
    <mergeCell ref="Q41:R41"/>
    <mergeCell ref="C42:D42"/>
    <mergeCell ref="E42:F42"/>
    <mergeCell ref="G42:H42"/>
    <mergeCell ref="I42:J42"/>
    <mergeCell ref="K42:L42"/>
    <mergeCell ref="Q42:R42"/>
    <mergeCell ref="C43:D43"/>
    <mergeCell ref="E43:F43"/>
    <mergeCell ref="G43:I43"/>
    <mergeCell ref="J43:K43"/>
    <mergeCell ref="L43:M43"/>
    <mergeCell ref="C44:D44"/>
    <mergeCell ref="E44:F44"/>
    <mergeCell ref="G44:I44"/>
    <mergeCell ref="J44:K44"/>
    <mergeCell ref="L44:M44"/>
    <mergeCell ref="C45:D45"/>
    <mergeCell ref="E45:F45"/>
    <mergeCell ref="G45:I45"/>
    <mergeCell ref="J45:K45"/>
    <mergeCell ref="L45:M45"/>
    <mergeCell ref="C46:D46"/>
    <mergeCell ref="E46:F46"/>
    <mergeCell ref="G46:I46"/>
    <mergeCell ref="J46:K46"/>
    <mergeCell ref="L46:M46"/>
    <mergeCell ref="C47:D47"/>
    <mergeCell ref="E47:F47"/>
    <mergeCell ref="G47:I47"/>
    <mergeCell ref="J47:K47"/>
    <mergeCell ref="L47:M47"/>
    <mergeCell ref="C48:D48"/>
    <mergeCell ref="E48:F48"/>
    <mergeCell ref="G48:I48"/>
    <mergeCell ref="J48:K48"/>
    <mergeCell ref="L48:M48"/>
    <mergeCell ref="C49:D49"/>
    <mergeCell ref="E49:F49"/>
    <mergeCell ref="G49:I49"/>
    <mergeCell ref="J49:K49"/>
    <mergeCell ref="L49:M49"/>
    <mergeCell ref="C50:D50"/>
    <mergeCell ref="E50:F50"/>
    <mergeCell ref="G50:I50"/>
    <mergeCell ref="J50:K50"/>
    <mergeCell ref="L50:M50"/>
    <mergeCell ref="C51:D51"/>
    <mergeCell ref="E51:F51"/>
    <mergeCell ref="G51:I51"/>
    <mergeCell ref="J51:K51"/>
    <mergeCell ref="L51:M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H56"/>
    <mergeCell ref="I56:J56"/>
    <mergeCell ref="L56:M56"/>
    <mergeCell ref="C57:D57"/>
    <mergeCell ref="E57:F57"/>
    <mergeCell ref="G57:H57"/>
    <mergeCell ref="I57:J57"/>
    <mergeCell ref="L57:M57"/>
    <mergeCell ref="C58:D58"/>
    <mergeCell ref="E58:F58"/>
    <mergeCell ref="G58:H58"/>
    <mergeCell ref="I58:J58"/>
    <mergeCell ref="L58:M58"/>
    <mergeCell ref="C59:D59"/>
    <mergeCell ref="E59:F59"/>
    <mergeCell ref="G59:H59"/>
    <mergeCell ref="I59:J59"/>
    <mergeCell ref="L59:M59"/>
    <mergeCell ref="C60:D60"/>
    <mergeCell ref="E60:F60"/>
    <mergeCell ref="G60:H60"/>
    <mergeCell ref="I60:J60"/>
    <mergeCell ref="L60:M60"/>
    <mergeCell ref="C61:D61"/>
    <mergeCell ref="E61:F61"/>
    <mergeCell ref="G61:H61"/>
    <mergeCell ref="I61:J61"/>
    <mergeCell ref="L61:M61"/>
    <mergeCell ref="C62:D62"/>
    <mergeCell ref="E62:F62"/>
    <mergeCell ref="G62:H62"/>
    <mergeCell ref="I62:J62"/>
    <mergeCell ref="L62:M62"/>
    <mergeCell ref="C63:D63"/>
    <mergeCell ref="E63:F63"/>
    <mergeCell ref="G63:H63"/>
    <mergeCell ref="I63:J63"/>
    <mergeCell ref="L63:M63"/>
    <mergeCell ref="C64:D64"/>
    <mergeCell ref="E64:F64"/>
    <mergeCell ref="G64:H64"/>
    <mergeCell ref="I64:J64"/>
    <mergeCell ref="L64:M64"/>
    <mergeCell ref="C65:D65"/>
    <mergeCell ref="E65:F65"/>
    <mergeCell ref="G65:H65"/>
    <mergeCell ref="I65:J65"/>
    <mergeCell ref="K65:M65"/>
    <mergeCell ref="C66:D66"/>
    <mergeCell ref="E66:F66"/>
    <mergeCell ref="G66:H66"/>
    <mergeCell ref="I66:J66"/>
    <mergeCell ref="K66:M66"/>
    <mergeCell ref="C67:D67"/>
    <mergeCell ref="E67:F67"/>
    <mergeCell ref="G67:H67"/>
    <mergeCell ref="I67:J67"/>
    <mergeCell ref="K67:M67"/>
    <mergeCell ref="B68:O68"/>
    <mergeCell ref="C69:D69"/>
    <mergeCell ref="F69:G69"/>
    <mergeCell ref="R69:S69"/>
    <mergeCell ref="C70:D70"/>
    <mergeCell ref="F70:G70"/>
    <mergeCell ref="R70:S70"/>
    <mergeCell ref="B71:L71"/>
    <mergeCell ref="N71:O71"/>
    <mergeCell ref="B73:O73"/>
    <mergeCell ref="B74:O74"/>
    <mergeCell ref="C75:F75"/>
    <mergeCell ref="Y75:Z75"/>
    <mergeCell ref="C76:F76"/>
    <mergeCell ref="Y76:Z76"/>
    <mergeCell ref="C77:F77"/>
    <mergeCell ref="Y77:Z77"/>
    <mergeCell ref="C78:F78"/>
    <mergeCell ref="Y78:Z78"/>
    <mergeCell ref="B79:L79"/>
    <mergeCell ref="N79:O79"/>
    <mergeCell ref="B80:O80"/>
    <mergeCell ref="D81:F81"/>
    <mergeCell ref="G81:H81"/>
    <mergeCell ref="V81:W81"/>
    <mergeCell ref="X81:Y81"/>
    <mergeCell ref="D82:F82"/>
    <mergeCell ref="G82:H82"/>
    <mergeCell ref="V82:W82"/>
    <mergeCell ref="X82:Y82"/>
    <mergeCell ref="D83:F83"/>
    <mergeCell ref="G83:H83"/>
    <mergeCell ref="V83:W83"/>
    <mergeCell ref="X83:Y83"/>
    <mergeCell ref="B84:L84"/>
    <mergeCell ref="N84:O84"/>
    <mergeCell ref="B85:O85"/>
    <mergeCell ref="D86:F86"/>
    <mergeCell ref="G86:H86"/>
    <mergeCell ref="V86:W86"/>
    <mergeCell ref="D87:F87"/>
    <mergeCell ref="G87:H87"/>
    <mergeCell ref="V87:W87"/>
    <mergeCell ref="D88:F88"/>
    <mergeCell ref="G88:H88"/>
    <mergeCell ref="V88:W88"/>
    <mergeCell ref="B89:L89"/>
    <mergeCell ref="N89:O89"/>
    <mergeCell ref="B90:O90"/>
    <mergeCell ref="B91:O91"/>
    <mergeCell ref="C92:E92"/>
    <mergeCell ref="F92:G92"/>
    <mergeCell ref="Z92:AA92"/>
    <mergeCell ref="AC92:AD92"/>
    <mergeCell ref="C93:E93"/>
    <mergeCell ref="F93:G93"/>
    <mergeCell ref="Z93:AA93"/>
    <mergeCell ref="AC93:AD93"/>
    <mergeCell ref="C94:E94"/>
    <mergeCell ref="F94:G94"/>
    <mergeCell ref="Z94:AA94"/>
    <mergeCell ref="AC94:AD94"/>
    <mergeCell ref="C95:E95"/>
    <mergeCell ref="F95:G95"/>
    <mergeCell ref="Z95:AA95"/>
    <mergeCell ref="AC95:AD95"/>
    <mergeCell ref="C96:E96"/>
    <mergeCell ref="F96:G96"/>
    <mergeCell ref="Z96:AA96"/>
    <mergeCell ref="AC96:AD96"/>
    <mergeCell ref="B97:L97"/>
    <mergeCell ref="N97:O97"/>
    <mergeCell ref="B98:O98"/>
    <mergeCell ref="C99:D99"/>
    <mergeCell ref="F99:G99"/>
    <mergeCell ref="R99:S99"/>
    <mergeCell ref="T99:U99"/>
    <mergeCell ref="C100:D100"/>
    <mergeCell ref="F100:G100"/>
    <mergeCell ref="R100:S100"/>
    <mergeCell ref="T100:U100"/>
    <mergeCell ref="C101:D101"/>
    <mergeCell ref="F101:G101"/>
    <mergeCell ref="R101:S101"/>
    <mergeCell ref="T101:U101"/>
    <mergeCell ref="B102:L102"/>
    <mergeCell ref="N102:O102"/>
    <mergeCell ref="B103:O103"/>
    <mergeCell ref="C104:F104"/>
    <mergeCell ref="Y104:Z104"/>
    <mergeCell ref="C105:F105"/>
    <mergeCell ref="Y105:Z105"/>
    <mergeCell ref="C106:F106"/>
    <mergeCell ref="Y106:Z106"/>
    <mergeCell ref="C107:F107"/>
    <mergeCell ref="Y107:Z107"/>
    <mergeCell ref="C108:F108"/>
    <mergeCell ref="Y108:Z108"/>
    <mergeCell ref="B109:L109"/>
    <mergeCell ref="N109:O109"/>
    <mergeCell ref="B110:O110"/>
    <mergeCell ref="C111:E111"/>
    <mergeCell ref="F111:G111"/>
    <mergeCell ref="C112:E112"/>
    <mergeCell ref="F112:G112"/>
    <mergeCell ref="C113:E113"/>
    <mergeCell ref="F113:G113"/>
    <mergeCell ref="B114:L114"/>
    <mergeCell ref="N114:O114"/>
    <mergeCell ref="B115:O115"/>
    <mergeCell ref="C116:E116"/>
    <mergeCell ref="F116:G116"/>
    <mergeCell ref="AB116:AC116"/>
    <mergeCell ref="AD116:AE116"/>
    <mergeCell ref="AF116:AG116"/>
    <mergeCell ref="C117:E117"/>
    <mergeCell ref="F117:G117"/>
    <mergeCell ref="AB117:AC117"/>
    <mergeCell ref="AD117:AE117"/>
    <mergeCell ref="AF117:AG117"/>
    <mergeCell ref="C118:E118"/>
    <mergeCell ref="F118:G118"/>
    <mergeCell ref="AB118:AC118"/>
    <mergeCell ref="AD118:AE118"/>
    <mergeCell ref="B119:L119"/>
    <mergeCell ref="N119:O119"/>
    <mergeCell ref="B120:O120"/>
    <mergeCell ref="D121:F121"/>
    <mergeCell ref="G121:H121"/>
    <mergeCell ref="V121:W121"/>
    <mergeCell ref="X121:Y121"/>
    <mergeCell ref="D122:F122"/>
    <mergeCell ref="G122:H122"/>
    <mergeCell ref="V122:W122"/>
    <mergeCell ref="X122:Y122"/>
    <mergeCell ref="D123:F123"/>
    <mergeCell ref="G123:H123"/>
    <mergeCell ref="V123:W123"/>
    <mergeCell ref="X123:Y123"/>
    <mergeCell ref="B124:L124"/>
    <mergeCell ref="N124:O124"/>
    <mergeCell ref="B125:O125"/>
    <mergeCell ref="D126:F126"/>
    <mergeCell ref="H126:K126"/>
    <mergeCell ref="D127:F127"/>
    <mergeCell ref="H127:K127"/>
    <mergeCell ref="D128:F128"/>
    <mergeCell ref="H128:K128"/>
    <mergeCell ref="B129:L129"/>
    <mergeCell ref="N129:O129"/>
    <mergeCell ref="B130:O130"/>
    <mergeCell ref="D131:F131"/>
    <mergeCell ref="D132:F132"/>
    <mergeCell ref="D133:F133"/>
    <mergeCell ref="D134:F134"/>
    <mergeCell ref="B135:L135"/>
    <mergeCell ref="N135:O135"/>
    <mergeCell ref="B136:O136"/>
    <mergeCell ref="C137:D137"/>
    <mergeCell ref="E137:F137"/>
    <mergeCell ref="G137:H137"/>
    <mergeCell ref="C138:D138"/>
    <mergeCell ref="E138:F138"/>
    <mergeCell ref="G138:H138"/>
    <mergeCell ref="C139:D139"/>
    <mergeCell ref="E139:F139"/>
    <mergeCell ref="G139:H139"/>
    <mergeCell ref="B140:L140"/>
    <mergeCell ref="N140:O140"/>
    <mergeCell ref="B141:O141"/>
    <mergeCell ref="D142:F142"/>
    <mergeCell ref="G142:H142"/>
    <mergeCell ref="D143:F143"/>
    <mergeCell ref="G143:H143"/>
    <mergeCell ref="D144:F144"/>
    <mergeCell ref="G144:H144"/>
    <mergeCell ref="B145:L145"/>
    <mergeCell ref="N145:O145"/>
    <mergeCell ref="B146:O146"/>
    <mergeCell ref="C147:D147"/>
    <mergeCell ref="F147:G147"/>
    <mergeCell ref="R147:S147"/>
    <mergeCell ref="C148:D148"/>
    <mergeCell ref="F148:G148"/>
    <mergeCell ref="R148:S148"/>
    <mergeCell ref="C149:D149"/>
    <mergeCell ref="F149:G149"/>
    <mergeCell ref="R149:S149"/>
    <mergeCell ref="B150:L150"/>
    <mergeCell ref="N150:O150"/>
    <mergeCell ref="B151:O151"/>
    <mergeCell ref="B152:O152"/>
    <mergeCell ref="C153:G153"/>
    <mergeCell ref="H153:I153"/>
    <mergeCell ref="K153:L153"/>
    <mergeCell ref="C154:G154"/>
    <mergeCell ref="H154:I154"/>
    <mergeCell ref="K154:L154"/>
    <mergeCell ref="C155:G155"/>
    <mergeCell ref="H155:I155"/>
    <mergeCell ref="K155:L155"/>
    <mergeCell ref="C156:G156"/>
    <mergeCell ref="H156:I156"/>
    <mergeCell ref="K156:L156"/>
    <mergeCell ref="B157:L157"/>
    <mergeCell ref="N157:O157"/>
    <mergeCell ref="B158:O158"/>
    <mergeCell ref="C159:G159"/>
    <mergeCell ref="H159:M159"/>
    <mergeCell ref="C160:G160"/>
    <mergeCell ref="H160:M160"/>
    <mergeCell ref="C161:G161"/>
    <mergeCell ref="H161:M161"/>
    <mergeCell ref="B162:O162"/>
    <mergeCell ref="B163:D163"/>
    <mergeCell ref="F163:I163"/>
    <mergeCell ref="K163:L163"/>
    <mergeCell ref="B164:D164"/>
    <mergeCell ref="F164:I164"/>
    <mergeCell ref="K164:L164"/>
    <mergeCell ref="B165:L165"/>
    <mergeCell ref="N165:O165"/>
    <mergeCell ref="B166:O166"/>
    <mergeCell ref="C167:D167"/>
    <mergeCell ref="F167:H167"/>
    <mergeCell ref="I167:K167"/>
    <mergeCell ref="C168:D168"/>
    <mergeCell ref="F168:H168"/>
    <mergeCell ref="I168:K168"/>
    <mergeCell ref="C169:D169"/>
    <mergeCell ref="F169:H169"/>
    <mergeCell ref="I169:K169"/>
    <mergeCell ref="B170:L170"/>
    <mergeCell ref="N170:O170"/>
    <mergeCell ref="B171:O171"/>
    <mergeCell ref="C172:F172"/>
    <mergeCell ref="G172:H172"/>
    <mergeCell ref="C173:F173"/>
    <mergeCell ref="G173:H173"/>
    <mergeCell ref="C174:F174"/>
    <mergeCell ref="G174:H174"/>
    <mergeCell ref="B175:L175"/>
    <mergeCell ref="N175:O175"/>
    <mergeCell ref="B176:O176"/>
    <mergeCell ref="C177:D177"/>
    <mergeCell ref="F177:G177"/>
    <mergeCell ref="C178:D178"/>
    <mergeCell ref="F178:G178"/>
    <mergeCell ref="C179:D179"/>
    <mergeCell ref="F179:G179"/>
    <mergeCell ref="C180:D180"/>
    <mergeCell ref="F180:G180"/>
    <mergeCell ref="B181:L181"/>
    <mergeCell ref="N181:O181"/>
    <mergeCell ref="B183:O183"/>
    <mergeCell ref="C184:E184"/>
    <mergeCell ref="F184:G184"/>
    <mergeCell ref="H184:J184"/>
    <mergeCell ref="K184:M184"/>
    <mergeCell ref="N184:O184"/>
    <mergeCell ref="C185:E185"/>
    <mergeCell ref="F185:G185"/>
    <mergeCell ref="H185:J185"/>
    <mergeCell ref="K185:M185"/>
    <mergeCell ref="N185:O185"/>
    <mergeCell ref="C186:D186"/>
    <mergeCell ref="F186:I186"/>
    <mergeCell ref="J186:K186"/>
    <mergeCell ref="L186:M186"/>
    <mergeCell ref="N186:O186"/>
    <mergeCell ref="C187:D187"/>
    <mergeCell ref="F187:I187"/>
    <mergeCell ref="J187:K187"/>
    <mergeCell ref="L187:M187"/>
    <mergeCell ref="N187:O187"/>
    <mergeCell ref="C188:D188"/>
    <mergeCell ref="F188:G188"/>
    <mergeCell ref="H188:I188"/>
    <mergeCell ref="J188:K188"/>
    <mergeCell ref="L188:M188"/>
    <mergeCell ref="N188:O188"/>
    <mergeCell ref="C189:D189"/>
    <mergeCell ref="F189:G189"/>
    <mergeCell ref="H189:I189"/>
    <mergeCell ref="J189:K189"/>
    <mergeCell ref="L189:M189"/>
    <mergeCell ref="N189:O189"/>
    <mergeCell ref="C190:D190"/>
    <mergeCell ref="E190:G190"/>
    <mergeCell ref="H190:I190"/>
    <mergeCell ref="J190:M190"/>
    <mergeCell ref="N190:O190"/>
    <mergeCell ref="C191:D191"/>
    <mergeCell ref="E191:G191"/>
    <mergeCell ref="H191:I191"/>
    <mergeCell ref="J191:M191"/>
    <mergeCell ref="N191:O191"/>
    <mergeCell ref="C192:D192"/>
    <mergeCell ref="E192:G192"/>
    <mergeCell ref="H192:I192"/>
    <mergeCell ref="J192:K192"/>
    <mergeCell ref="L192:M192"/>
    <mergeCell ref="N192:O192"/>
    <mergeCell ref="C193:D193"/>
    <mergeCell ref="E193:G193"/>
    <mergeCell ref="H193:I193"/>
    <mergeCell ref="J193:K193"/>
    <mergeCell ref="L193:M193"/>
    <mergeCell ref="N193:O193"/>
    <mergeCell ref="C194:D194"/>
    <mergeCell ref="E194:G194"/>
    <mergeCell ref="H194:I194"/>
    <mergeCell ref="J194:K194"/>
    <mergeCell ref="L194:M194"/>
    <mergeCell ref="N194:O194"/>
    <mergeCell ref="C195:D195"/>
    <mergeCell ref="E195:G195"/>
    <mergeCell ref="H195:I195"/>
    <mergeCell ref="J195:K195"/>
    <mergeCell ref="L195:M195"/>
    <mergeCell ref="N195:O195"/>
    <mergeCell ref="C196:D196"/>
    <mergeCell ref="E196:F196"/>
    <mergeCell ref="H196:I196"/>
    <mergeCell ref="K196:L196"/>
    <mergeCell ref="N196:O196"/>
    <mergeCell ref="C197:D197"/>
    <mergeCell ref="E197:F197"/>
    <mergeCell ref="H197:I197"/>
    <mergeCell ref="K197:L197"/>
    <mergeCell ref="N197:O197"/>
    <mergeCell ref="C198:D198"/>
    <mergeCell ref="E198:F198"/>
    <mergeCell ref="H198:I198"/>
    <mergeCell ref="K198:L198"/>
    <mergeCell ref="N198:O198"/>
    <mergeCell ref="C199:D199"/>
    <mergeCell ref="E199:F199"/>
    <mergeCell ref="H199:I199"/>
    <mergeCell ref="K199:L199"/>
    <mergeCell ref="N199:O199"/>
    <mergeCell ref="C200:D200"/>
    <mergeCell ref="E200:F200"/>
    <mergeCell ref="G200:H200"/>
    <mergeCell ref="I200:J200"/>
    <mergeCell ref="K200:M200"/>
    <mergeCell ref="N200:O200"/>
    <mergeCell ref="S200:T200"/>
    <mergeCell ref="C201:D201"/>
    <mergeCell ref="E201:F201"/>
    <mergeCell ref="G201:H201"/>
    <mergeCell ref="I201:J201"/>
    <mergeCell ref="K201:M201"/>
    <mergeCell ref="N201:O201"/>
    <mergeCell ref="S201:T201"/>
    <mergeCell ref="B202:E202"/>
    <mergeCell ref="F202:G202"/>
    <mergeCell ref="H202:J202"/>
    <mergeCell ref="K202:O202"/>
    <mergeCell ref="C203:O203"/>
    <mergeCell ref="C204:O204"/>
    <mergeCell ref="C205:O205"/>
    <mergeCell ref="B31:B32"/>
    <mergeCell ref="B33:B36"/>
    <mergeCell ref="B37:B38"/>
    <mergeCell ref="B39:B40"/>
    <mergeCell ref="B41:B42"/>
    <mergeCell ref="B43:B55"/>
    <mergeCell ref="B56:B64"/>
    <mergeCell ref="B65:B67"/>
    <mergeCell ref="B159:B161"/>
    <mergeCell ref="B184:B185"/>
    <mergeCell ref="B186:B189"/>
    <mergeCell ref="B190:B191"/>
    <mergeCell ref="B192:B197"/>
    <mergeCell ref="B198:B199"/>
    <mergeCell ref="B200:B201"/>
  </mergeCells>
  <dataValidations count="56">
    <dataValidation allowBlank="1" showErrorMessage="1" sqref="B6:K6 L6 M6 N6 B7:K7 L7 M7 N7 B8:K8 L8 M8 N8 B9:G9 H9:J9 K9 L9 M9 B10:K10 L10 M10 L11:L13 M11:M13 N9:N10 N11:N13 B11:K13"/>
    <dataValidation allowBlank="1" showErrorMessage="1" prompt="请在下拉列表中选择填写内容！" sqref="G14:I14 G16 H16 I16 C31:D31 E31 F31 H31 J31 N32:O32 C33:D33 E33 F33:G33 H33 J33 N34:O34 N35:O35 N36:O36 C37:D37 E37 F37 H37 J37 N38:O38 C39:D39 E39 F39 H39 J39 N40:O40 C41:D41 E41 F41 H41 I41 N42:O42 C43:D43 E43 F43:G43 H43 J43 N44:O44 N45:O45 N46:O46 N50:O50 N54:O54 N55:O55 C56:D56 E56 F56:G56 H56 I56 N57:O57 N58:O58 N59:O59 N63:O63 N64:O64 D65 C71:H71 C79:H79 C84:H84 C89:H89 C97:H97 C102:H102 C109:H109 C114:H114 C119:H119 C124:H124 C129:H129 C135:H135 C140:H140 C145:H145 C150:H150 B153 C153 D153 F153:G153 J153 N154:O154 N155:O155 N156:O156 C157:H157 C165:H165 C170:H170 C175:H175 C181:H181 K184 L184 D185 J186 L187 H188 J188 N188 H189 L189 N189 J190 L191 I192 K192 I193 H194 J194 H195 J196 N197 J198 L199 H200 K200 L200 M200 N200 H201 K201 L201 M201 N201 D202 E202 K202 L202 D66:D67 E186:E188 E190:E191 E192:E194 E196:E197 E198:E199 H17:H19 I17:I19 I184:I185 I186:I187 I190:I191 I196:I197 I198:I199 K186:K189 K190:K191 K193:K195 K196:K197 K198:K199 L192:L195 L196:L197 M184:M185 M186:M187 M190:M191 M192:M195 M196:M197 M198:M199 N184:N185 N193:N195 N51:O53 N60:O62 N47:O49 C160:G161"/>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72 F182">
      <formula1>"男,女"</formula1>
    </dataValidation>
    <dataValidation allowBlank="1" showErrorMessage="1" prompt="请规范填写时间！格式为“1999年10月”" sqref="H24:J24 I25 L25 H26:I26 H27:I27 I28:J28 I29:J29 I30:J30 B71 J71 K71 L71 H72:J72 B79 K79 L79 B84 K84 L84 B89 J89 K89 L89 B97 K97 L97 B102 J102 K102 L102 B109 K109 L109 B114 K114 L114 B119 K119 L119 B124 K124 L124 B129 J129 K129 L129 B135 J135 K135 L135 B140 K140 L140 B145 J145 K145 L145 B150 J150 K150 L150 B157 J157 K157 L157 B159 J159 B165 J165 K165 L165 B170 K170 L170 B175 K175 L175 B181 J181 K181 L181 H182:J182 I117:I118"/>
    <dataValidation type="list" allowBlank="1" showInputMessage="1" showErrorMessage="1" sqref="D26:E26">
      <formula1>"博士,硕士,学士,无学位（本科毕业）,其他"</formula1>
    </dataValidation>
    <dataValidation type="list" allowBlank="1" showInputMessage="1" showErrorMessage="1" sqref="K29:O29">
      <formula1>"专任教师,二级教学单位负责人,“双肩挑”人员,非教学单位人员"</formula1>
    </dataValidation>
    <dataValidation type="list" allowBlank="1" showErrorMessage="1" prompt="请在下拉列表中选择填写内容！" sqref="C32:M32">
      <formula1>"A档,B档,C档,D档"</formula1>
    </dataValidation>
    <dataValidation type="list" allowBlank="1" showInputMessage="1" showErrorMessage="1" sqref="B70">
      <formula1>"师资培养成绩"</formula1>
    </dataValidation>
    <dataValidation type="list" allowBlank="1" showErrorMessage="1" prompt="请规范填写时间！格式为“1999年10月”" sqref="C70:D70">
      <formula1>"培养对象获得成果"</formula1>
    </dataValidation>
    <dataValidation type="list" allowBlank="1" showInputMessage="1" showErrorMessage="1" sqref="E70 E100 E101 C138:D138 C139:D139 D148 D149 E180 E148:E149 E178:E179">
      <formula1>"国家级,省级,市级,校级"</formula1>
    </dataValidation>
    <dataValidation allowBlank="1" showErrorMessage="1" prompt="请规范填写！格式为：“专著”“主编”“n/m”等" sqref="F70 G70 H70 M71 N71 K76 L76:M76 N76 K77 L77 M77 N77 K78 L78:M78 N78 J79 M79 N79 J84 M84 N84 G87 H87 I87 G88 H88 I88 M89 N89 N95 N96 J97 M97 N97 F100 G100 H100 F101 G101 H101 M102 N102 K105 L105:M105 N105 K106 L106 M106 N106 K107 L107:M107 N107 K108 L108:M108 N108 J109 M109 N109 K112 L112:M112 N112 K113 L113:M113 N113 J114 M114 N114 J119 M119 N119 J124 M124 N124 M129 N129 G134 H134 M135 N135 J140 M140 N140 G143 H143 I143 G144 H144 I144 M145 N145 M150 N150 M157 N157 M165 N165 J170 M170 N170 G173 M173 N173 G174 M174 N174 J175 M175 N175 F180 G180 H180 M181 N181 E127:E128 F127:F128 F178:F179 G132:G133 G178:G179 H132:H133 H178:H179 J117:J118 M93:M96 N93:N94 N117:N118 F148:H149 L117:M118"/>
    <dataValidation type="list" allowBlank="1" showErrorMessage="1" prompt="请规范填写！格式为：“专著”“主编”“n/m”等" sqref="I70 H76 H77 H78 J87 J88 I93 I96 I100 I101 H105 H106 H107 H108 H112 H113 I134 I138 I139 J143 J144 I173 I174 I180 I82:I83 I94:I95 I122:I123 I132:I133 I148:I149 I178:I179">
      <formula1>"独立完成,合作完成"</formula1>
    </dataValidation>
    <dataValidation allowBlank="1" showErrorMessage="1" error="请正确填写！！" prompt="请规范填写时间！格式为“1999年10月”" sqref="J70 K87 K88 J100 J101 J134 K143 K144 J164 J180 J132:J133 J148:J149 J178:J179"/>
    <dataValidation type="whole" operator="between" allowBlank="1" showErrorMessage="1" error="请正确填写！！" prompt="请规范填写时间！格式为“1999年10月”" sqref="K70 J76 J77 J78 L87 L88 K93 K96 K100 K101 J105 J106 J107 J108 J112 J113 K134 L143 L144 K173 L173 K174 L174 K180 K82:K83 K94:K95 K122:K123 K132:K133 K148:K149 K178:K179 L93:L96">
      <formula1>1</formula1>
      <formula2>I70</formula2>
    </dataValidation>
    <dataValidation allowBlank="1" showErrorMessage="1" prompt="如：“陕西省人民政府”,“陕西省教育厅”,“教育部”等。" sqref="M70 N70 M87 N87 M88 N88 N100 N101 M134 N134 N138 N139 M143 N143 M144 N144 M164 N164 N180 M82:M83 M100:M101 M122:M123 M127:M128 M132:M133 M138:M139 M148:M149 M154:M156 M168:M169 M178:M180 N82:N83 N122:N123 N127:N128 N132:N133 N148:N149 N168:N169 N178:N179"/>
    <dataValidation allowBlank="1" showErrorMessage="1" prompt="如“类别”栏选择“课程”，请填写精品课程名称！如“《现代教育技术》国家级精品课程”" sqref="C76 C77 C78 C105 C106 C107 C108 C112 C113 D82:D83 D122:D123"/>
    <dataValidation allowBlank="1" showErrorMessage="1" prompt="请规范填写！格式为：“主持人”“主编”“n/m”等" sqref="G76 G77 G78 G82 G83 G105 G106 G107 G108 F112 F113 G122 G123 F138 F139 F168 F169 C173 C174"/>
    <dataValidation type="whole" operator="between" allowBlank="1" showInputMessage="1" showErrorMessage="1" error="必须输入数字！" sqref="I76 I77 I78 J93 J96 I105 I106 I107 I108 I112 I113 J173 J174 J82:J83 J94:J95 J122:J123" errorStyle="warning">
      <formula1>2</formula1>
      <formula2>100</formula2>
    </dataValidation>
    <dataValidation type="list" allowBlank="1" showErrorMessage="1" prompt="请规范填写时间！格式为“1999年10月”" sqref="B87 B88 B143 B144">
      <formula1>其他参数!$F$2:$F$6</formula1>
    </dataValidation>
    <dataValidation type="list" allowBlank="1" showInputMessage="1" showErrorMessage="1" sqref="C87 C88 C134 C143 C144 C132:C133">
      <formula1>"一等奖,金奖,二等奖,银奖,三等奖,铜奖,无等级"</formula1>
    </dataValidation>
    <dataValidation type="list" allowBlank="1" showErrorMessage="1" prompt="请在下拉列表中选择填写内容！" sqref="B93 B96 B94:B95">
      <formula1>其他参数!$A$2:$A$9</formula1>
    </dataValidation>
    <dataValidation allowBlank="1" showErrorMessage="1" prompt="如被SCI、EI、SSCI、CSSCI等收录，请注明，并请注明几区及影响因子，著作还应注明撰写部分及字数" sqref="F93 F96 F117 F118 F94:F95"/>
    <dataValidation type="list" allowBlank="1" showErrorMessage="1" prompt="请规范填写时间！格式为“1999年10月”" sqref="H93 H96 H94:H95">
      <formula1>"是,否"</formula1>
    </dataValidation>
    <dataValidation type="list" allowBlank="1" showInputMessage="1" showErrorMessage="1" sqref="B100 B101">
      <formula1>"课程建设"</formula1>
    </dataValidation>
    <dataValidation type="list" allowBlank="1" showInputMessage="1" showErrorMessage="1" sqref="B105 B106 B107 B108">
      <formula1>其他参数!$C$2:$C$5</formula1>
    </dataValidation>
    <dataValidation type="list" allowBlank="1" showInputMessage="1" showErrorMessage="1" sqref="B112 B113">
      <formula1>"横向技术项目"</formula1>
    </dataValidation>
    <dataValidation type="list" allowBlank="1" showErrorMessage="1" prompt="请在下拉列表中选择填写内容！" sqref="B117">
      <formula1>其他参数!$B$2:$B$11</formula1>
    </dataValidation>
    <dataValidation type="list" allowBlank="1" showErrorMessage="1" prompt="请在下拉列表中选择填写内容！" sqref="B118">
      <formula1>其他参数!$B$2:$B$10</formula1>
    </dataValidation>
    <dataValidation type="list" allowBlank="1" showInputMessage="1" showErrorMessage="1" sqref="B138 B139">
      <formula1>"项目设计,分析报告,研究报告"</formula1>
    </dataValidation>
    <dataValidation type="list" allowBlank="1" showErrorMessage="1" prompt="请规范填写时间！格式为“1999年10月”" sqref="C148 C149 C164 D164 C178:D178 C179:D179 C180:D180">
      <formula1>INDIRECT(B148)</formula1>
    </dataValidation>
    <dataValidation type="list" allowBlank="1" showInputMessage="1" showErrorMessage="1" sqref="B154 B155 B156">
      <formula1>"校内,其他兄弟院校,市级以上层面"</formula1>
    </dataValidation>
    <dataValidation type="whole" operator="between" allowBlank="1" showErrorMessage="1" prompt="请在下拉列表中选择填写内容！" sqref="O161">
      <formula1>0</formula1>
      <formula2>10-J161</formula2>
    </dataValidation>
    <dataValidation type="list" allowBlank="1" showInputMessage="1" showErrorMessage="1" sqref="B164">
      <formula1>"马克思主义社团指导教师,素质教育类社团指导教师"</formula1>
    </dataValidation>
    <dataValidation type="list" allowBlank="1" showErrorMessage="1" prompt="请规范填写时间！格式为“1999年10月”" sqref="E164">
      <formula1>"社团指导教师"</formula1>
    </dataValidation>
    <dataValidation type="whole" operator="between" allowBlank="1" showErrorMessage="1" error="请正确填写！！" prompt="请规范填写时间！格式为“1999年10月”" sqref="K164">
      <formula1>1</formula1>
      <formula2>#REF!</formula2>
    </dataValidation>
    <dataValidation type="list" allowBlank="1" showInputMessage="1" showErrorMessage="1" sqref="B173 B174">
      <formula1>其他参数!$D$2:$D$5</formula1>
    </dataValidation>
    <dataValidation type="list" allowBlank="1" showInputMessage="1" showErrorMessage="1" sqref="B76:B78">
      <formula1>数据引用表!$F$2:$F$5</formula1>
    </dataValidation>
    <dataValidation type="list" allowBlank="1" showInputMessage="1" showErrorMessage="1" sqref="B82:B83">
      <formula1>其他参数!$E$2:$E$11</formula1>
    </dataValidation>
    <dataValidation type="list" allowBlank="1" showInputMessage="1" showErrorMessage="1" sqref="B122:B123">
      <formula1>其他参数!$E$2:$E$6</formula1>
    </dataValidation>
    <dataValidation type="list" allowBlank="1" showInputMessage="1" showErrorMessage="1" sqref="B127:B128">
      <formula1>"教学成果,教学经验"</formula1>
    </dataValidation>
    <dataValidation type="list" allowBlank="1" showErrorMessage="1" prompt="请规范填写时间！格式为“1999年10月”" sqref="B132:B134">
      <formula1>其他参数!$G$3:$G$7</formula1>
    </dataValidation>
    <dataValidation type="list" allowBlank="1" showInputMessage="1" showErrorMessage="1" sqref="B148:B149">
      <formula1>"团队建设"</formula1>
    </dataValidation>
    <dataValidation type="list" allowBlank="1" showInputMessage="1" showErrorMessage="1" sqref="B168:B169">
      <formula1>"专业技术职称证书,职业技能证书"</formula1>
    </dataValidation>
    <dataValidation type="list" allowBlank="1" showInputMessage="1" showErrorMessage="1" sqref="B178:B180">
      <formula1>数据引用表!$C$2:$C$4</formula1>
    </dataValidation>
    <dataValidation type="list" allowBlank="1" showInputMessage="1" showErrorMessage="1" sqref="C82:C83 C122:C123">
      <formula1>"一等奖,二等奖,三等奖,无等级"</formula1>
    </dataValidation>
    <dataValidation type="list" allowBlank="1" showErrorMessage="1" prompt="请规范填写时间！格式为“1999年10月”" sqref="C127:C128">
      <formula1>"推广,批示,采纳"</formula1>
    </dataValidation>
    <dataValidation type="list" allowBlank="1" showInputMessage="1" showErrorMessage="1" sqref="G127:G128">
      <formula1>"国家级,省级,市级,其他院校,校级"</formula1>
    </dataValidation>
    <dataValidation type="list" allowBlank="1" showInputMessage="1" showErrorMessage="1" sqref="H117:H118">
      <formula1>"是,否"</formula1>
    </dataValidation>
    <dataValidation type="list" allowBlank="1" showErrorMessage="1" prompt="请规范填写！格式为：“专著”“主编”“n/m”等" sqref="K117:K118">
      <formula1>"独著,第一主编,第二主编,参编"</formula1>
    </dataValidation>
    <dataValidation type="list" allowBlank="1" showInputMessage="1" showErrorMessage="1" sqref="C44:D45 C46:D55">
      <formula1>"国培项目,境外线上线下培训,一般培训进修"</formula1>
    </dataValidation>
    <dataValidation type="list" allowBlank="1" showErrorMessage="1" prompt="请规范填写时间！格式为“1999年10月”" sqref="C100:D101">
      <formula1>"一流课程,课程案例,精品教材,教材建设奖,职业体验课"</formula1>
    </dataValidation>
    <dataValidation type="list" allowBlank="1" showInputMessage="1" showErrorMessage="1" sqref="C168:D169">
      <formula1>"高级,中级,初级,无等级"</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topLeftCell="B1" workbookViewId="0">
      <selection activeCell="H24" sqref="H24"/>
    </sheetView>
  </sheetViews>
  <sheetFormatPr defaultColWidth="9" defaultRowHeight="12"/>
  <cols>
    <col min="1" max="1" width="5.25" style="13" customWidth="1"/>
    <col min="2" max="2" width="16" style="13" customWidth="1"/>
    <col min="3" max="3" width="8.375" style="13" customWidth="1"/>
    <col min="4" max="4" width="5.75" style="13" customWidth="1"/>
    <col min="5" max="5" width="12" style="13" customWidth="1"/>
    <col min="6" max="6" width="7.875" style="13" customWidth="1"/>
    <col min="7" max="8" width="14.5" style="13" customWidth="1"/>
    <col min="9" max="9" width="11.375" style="13" customWidth="1"/>
    <col min="10" max="10" width="11" style="13" customWidth="1"/>
    <col min="11" max="11" width="20" style="13" customWidth="1"/>
    <col min="12" max="12" width="17.5" style="13" customWidth="1"/>
    <col min="13" max="13" width="17.375" style="13" customWidth="1"/>
    <col min="14" max="14" width="17" style="13" customWidth="1"/>
    <col min="15" max="15" width="15.25" style="13" customWidth="1"/>
    <col min="16" max="16384" width="9" style="13"/>
  </cols>
  <sheetData>
    <row r="1" s="10" customFormat="1" ht="34.5" customHeight="1" spans="1:15">
      <c r="A1" s="14" t="s">
        <v>333</v>
      </c>
      <c r="B1" s="14"/>
      <c r="C1" s="14"/>
      <c r="D1" s="14"/>
      <c r="E1" s="14"/>
      <c r="F1" s="14"/>
      <c r="G1" s="14"/>
      <c r="H1" s="14"/>
      <c r="I1" s="14"/>
      <c r="J1" s="14"/>
      <c r="K1" s="14"/>
      <c r="L1" s="14"/>
      <c r="M1" s="14"/>
      <c r="N1" s="22"/>
      <c r="O1" s="22"/>
    </row>
    <row r="2" s="11" customFormat="1" ht="18" customHeight="1" spans="1:15">
      <c r="A2" s="15" t="s">
        <v>334</v>
      </c>
      <c r="B2" s="16" t="s">
        <v>31</v>
      </c>
      <c r="C2" s="15" t="s">
        <v>335</v>
      </c>
      <c r="D2" s="15" t="s">
        <v>336</v>
      </c>
      <c r="E2" s="16" t="s">
        <v>22</v>
      </c>
      <c r="F2" s="16" t="s">
        <v>23</v>
      </c>
      <c r="G2" s="16" t="s">
        <v>24</v>
      </c>
      <c r="H2" s="16" t="s">
        <v>34</v>
      </c>
      <c r="I2" s="23" t="s">
        <v>35</v>
      </c>
      <c r="J2" s="15" t="s">
        <v>337</v>
      </c>
      <c r="K2" s="15"/>
      <c r="L2" s="15"/>
      <c r="M2" s="15" t="s">
        <v>338</v>
      </c>
      <c r="N2" s="24" t="s">
        <v>339</v>
      </c>
      <c r="O2" s="15"/>
    </row>
    <row r="3" s="11" customFormat="1" ht="21" customHeight="1" spans="1:15">
      <c r="A3" s="15"/>
      <c r="B3" s="17"/>
      <c r="C3" s="15"/>
      <c r="D3" s="15"/>
      <c r="E3" s="17"/>
      <c r="F3" s="17"/>
      <c r="G3" s="17"/>
      <c r="H3" s="17"/>
      <c r="I3" s="25"/>
      <c r="J3" s="15" t="s">
        <v>86</v>
      </c>
      <c r="K3" s="15" t="s">
        <v>33</v>
      </c>
      <c r="L3" s="15" t="s">
        <v>28</v>
      </c>
      <c r="M3" s="15"/>
      <c r="N3" s="24" t="s">
        <v>325</v>
      </c>
      <c r="O3" s="15" t="s">
        <v>340</v>
      </c>
    </row>
    <row r="4" s="12" customFormat="1" ht="30" customHeight="1" spans="1:15">
      <c r="A4" s="18">
        <v>1</v>
      </c>
      <c r="B4" s="18">
        <f>量化赋分表!H14</f>
        <v>0</v>
      </c>
      <c r="C4" s="18">
        <f>量化赋分表!H15</f>
        <v>0</v>
      </c>
      <c r="D4" s="18">
        <f>量化赋分表!F25</f>
        <v>0</v>
      </c>
      <c r="E4" s="19">
        <f>量化赋分表!J25</f>
        <v>0</v>
      </c>
      <c r="F4" s="20" t="str">
        <f ca="1">量化赋分表!N25</f>
        <v/>
      </c>
      <c r="G4" s="18">
        <f>量化赋分表!D26</f>
        <v>0</v>
      </c>
      <c r="H4" s="18">
        <f>量化赋分表!D29</f>
        <v>0</v>
      </c>
      <c r="I4" s="18">
        <f>量化赋分表!K29</f>
        <v>0</v>
      </c>
      <c r="J4" s="18" t="str">
        <f>量化赋分表!H16</f>
        <v>副教授</v>
      </c>
      <c r="K4" s="19">
        <f>量化赋分表!I28</f>
        <v>0</v>
      </c>
      <c r="L4" s="20" t="str">
        <f ca="1">量化赋分表!N28</f>
        <v/>
      </c>
      <c r="M4" s="18" t="str">
        <f>量化赋分表!H19</f>
        <v>教授</v>
      </c>
      <c r="N4" s="18" t="str">
        <f ca="1">量化赋分表!F202</f>
        <v>否</v>
      </c>
      <c r="O4" s="26">
        <f ca="1">量化赋分表!K202</f>
        <v>0</v>
      </c>
    </row>
    <row r="5" s="10" customFormat="1" ht="11.25" spans="1:15">
      <c r="A5" s="21"/>
      <c r="B5" s="21"/>
      <c r="C5" s="21"/>
      <c r="D5" s="21"/>
      <c r="E5" s="21"/>
      <c r="F5" s="21"/>
      <c r="G5" s="21"/>
      <c r="H5" s="21"/>
      <c r="I5" s="21"/>
      <c r="J5" s="21"/>
      <c r="K5" s="21"/>
      <c r="L5" s="21"/>
      <c r="M5" s="21"/>
      <c r="N5" s="21"/>
      <c r="O5" s="21"/>
    </row>
    <row r="6" s="10" customFormat="1" ht="11.25"/>
    <row r="7" s="10" customFormat="1" ht="11.25"/>
    <row r="8" s="10" customFormat="1" ht="11.25"/>
    <row r="9" s="10" customFormat="1" ht="11.25"/>
    <row r="10" s="10" customFormat="1" ht="11.25"/>
    <row r="11" s="10" customFormat="1" ht="11.25"/>
    <row r="12" s="10" customFormat="1" ht="11.25"/>
    <row r="13" s="10" customFormat="1" ht="11.25"/>
    <row r="14" s="10" customFormat="1" ht="11.25"/>
    <row r="15" s="10" customFormat="1" ht="11.25"/>
    <row r="16" s="10" customFormat="1" ht="11.25"/>
    <row r="17" s="10" customFormat="1" ht="11.25"/>
    <row r="18" s="10" customFormat="1" ht="11.25"/>
    <row r="19" s="10" customFormat="1" ht="11.25"/>
    <row r="20" s="10" customFormat="1" ht="11.25"/>
    <row r="21" s="10" customFormat="1" ht="11.25"/>
    <row r="22" s="10" customFormat="1" ht="11.25"/>
    <row r="23" s="10" customFormat="1" ht="11.25"/>
    <row r="24" s="10" customFormat="1" ht="11.25"/>
    <row r="25" s="10" customFormat="1" ht="11.25"/>
    <row r="26" s="10" customFormat="1" ht="11.25"/>
    <row r="27" s="10" customFormat="1" ht="11.25"/>
    <row r="28" s="10" customFormat="1" ht="11.25"/>
    <row r="29" s="10" customFormat="1" ht="11.25"/>
    <row r="30" s="10" customFormat="1" ht="11.25"/>
    <row r="31" s="10" customFormat="1" ht="11.25"/>
    <row r="32" s="10" customFormat="1" ht="11.25"/>
    <row r="33" s="10" customFormat="1" ht="11.25"/>
    <row r="34" s="10" customFormat="1" ht="11.25"/>
    <row r="35" s="10" customFormat="1" ht="11.25"/>
    <row r="36" s="10" customFormat="1" ht="11.25"/>
    <row r="37" s="10" customFormat="1" ht="11.25"/>
    <row r="38" s="10" customFormat="1" ht="11.25"/>
    <row r="39" s="10" customFormat="1" ht="11.25"/>
    <row r="40" s="10" customFormat="1" ht="11.25"/>
    <row r="41" s="10" customFormat="1" ht="11.25"/>
    <row r="42" s="10" customFormat="1" ht="11.25"/>
    <row r="43" s="10" customFormat="1" ht="11.25"/>
    <row r="44" s="10" customFormat="1" ht="11.25"/>
    <row r="45" s="10" customFormat="1" ht="11.25"/>
    <row r="46" s="10" customFormat="1" ht="11.25"/>
    <row r="47" s="10" customFormat="1" ht="11.25"/>
    <row r="48" s="10" customFormat="1" ht="11.25"/>
    <row r="49" s="10" customFormat="1" ht="11.25"/>
    <row r="50" s="10" customFormat="1" ht="11.25"/>
    <row r="51" s="10" customFormat="1" ht="11.25"/>
    <row r="52" s="10" customFormat="1" ht="11.25"/>
    <row r="53" s="10" customFormat="1" ht="11.25"/>
    <row r="54" s="10" customFormat="1" ht="11.25"/>
    <row r="55" s="10" customFormat="1" ht="11.25"/>
    <row r="56" s="10" customFormat="1" ht="11.25"/>
    <row r="57" s="10" customFormat="1" ht="11.25"/>
    <row r="58" s="10" customFormat="1" ht="11.25"/>
    <row r="59" s="10" customFormat="1" ht="11.25"/>
    <row r="60" s="10" customFormat="1" ht="11.25"/>
    <row r="61" s="10" customFormat="1" ht="11.25"/>
    <row r="62" s="10" customFormat="1" ht="11.25"/>
    <row r="63" s="10" customFormat="1" ht="11.25"/>
    <row r="64" s="10" customFormat="1" ht="11.25"/>
    <row r="65" s="10" customFormat="1" ht="11.25"/>
    <row r="66" s="10" customFormat="1" ht="11.25"/>
    <row r="67" s="10" customFormat="1" ht="11.25"/>
    <row r="68" s="10" customFormat="1" ht="11.25"/>
    <row r="69" s="10" customFormat="1" ht="11.25"/>
    <row r="70" s="10" customFormat="1" ht="11.25"/>
    <row r="71" s="10" customFormat="1" ht="11.25"/>
    <row r="72" s="10" customFormat="1" ht="11.25"/>
    <row r="73" s="10" customFormat="1" ht="11.25"/>
    <row r="74" s="10" customFormat="1" ht="11.25"/>
    <row r="75" s="10" customFormat="1" ht="11.25"/>
    <row r="76" s="10" customFormat="1" ht="11.25"/>
    <row r="77" s="10" customFormat="1" ht="11.25"/>
    <row r="78" s="10" customFormat="1" ht="11.25"/>
    <row r="79" s="10" customFormat="1" ht="11.25"/>
    <row r="80" s="10" customFormat="1" ht="11.25"/>
    <row r="81" s="10" customFormat="1" ht="11.25"/>
    <row r="82" s="10" customFormat="1" ht="11.25"/>
    <row r="83" s="10" customFormat="1" ht="11.25"/>
    <row r="84" s="10" customFormat="1" ht="11.25"/>
    <row r="85" s="10" customFormat="1" ht="11.25"/>
    <row r="86" s="10" customFormat="1" ht="11.25"/>
    <row r="87" s="10" customFormat="1" ht="11.25"/>
    <row r="88" s="10" customFormat="1" ht="11.25"/>
    <row r="89" s="10" customFormat="1" ht="11.25"/>
    <row r="90" s="10" customFormat="1" ht="11.25"/>
    <row r="91" s="10" customFormat="1" ht="11.25"/>
    <row r="92" s="10" customFormat="1" ht="11.25"/>
    <row r="93" s="10" customFormat="1" ht="11.25"/>
    <row r="94" s="10" customFormat="1" ht="11.25"/>
    <row r="95" s="10" customFormat="1" ht="11.25"/>
    <row r="96" s="10" customFormat="1" ht="11.25"/>
    <row r="97" s="10" customFormat="1" ht="11.25"/>
    <row r="98" s="10" customFormat="1" ht="11.25"/>
    <row r="99" s="10" customFormat="1" ht="11.25"/>
    <row r="100" s="10" customFormat="1" ht="11.25"/>
    <row r="101" s="10" customFormat="1" ht="11.25"/>
    <row r="102" s="10" customFormat="1" ht="11.25"/>
    <row r="103" s="10" customFormat="1" ht="11.25"/>
    <row r="104" s="10" customFormat="1" ht="11.25"/>
    <row r="105" s="10" customFormat="1" ht="11.25"/>
    <row r="106" s="10" customFormat="1" ht="11.25"/>
    <row r="107" s="10" customFormat="1" ht="11.25"/>
    <row r="108" s="10" customFormat="1" ht="11.25"/>
    <row r="109" s="10" customFormat="1" ht="11.25"/>
    <row r="110" s="10" customFormat="1" ht="11.25"/>
    <row r="111" s="10" customFormat="1" ht="11.25"/>
    <row r="112" s="10" customFormat="1" ht="11.25"/>
    <row r="113" s="10" customFormat="1" ht="11.25"/>
    <row r="114" s="10" customFormat="1" ht="11.25"/>
    <row r="115" s="10" customFormat="1" ht="11.25"/>
    <row r="116" s="10" customFormat="1" ht="11.25"/>
    <row r="117" s="10" customFormat="1" ht="11.25"/>
    <row r="118" s="10" customFormat="1" ht="11.25"/>
    <row r="119" s="10" customFormat="1" ht="11.25"/>
    <row r="120" s="10" customFormat="1" ht="11.25"/>
    <row r="121" s="10" customFormat="1" ht="11.25"/>
    <row r="122" s="10" customFormat="1" ht="11.25"/>
    <row r="123" s="10" customFormat="1" ht="11.25"/>
    <row r="124" s="10" customFormat="1" ht="11.25"/>
    <row r="125" s="10" customFormat="1" ht="11.25"/>
    <row r="126" s="10" customFormat="1" ht="11.25"/>
    <row r="127" s="10" customFormat="1" ht="11.25"/>
    <row r="128" s="10" customFormat="1" ht="11.25"/>
    <row r="129" s="10" customFormat="1" ht="11.25"/>
    <row r="130" s="10" customFormat="1" ht="11.25"/>
    <row r="131" s="10" customFormat="1" ht="11.25"/>
    <row r="132" s="10" customFormat="1" ht="11.25"/>
    <row r="133" s="10" customFormat="1" ht="11.25"/>
    <row r="134" s="10" customFormat="1" ht="11.25"/>
    <row r="135" s="10" customFormat="1" ht="11.25"/>
    <row r="136" s="10" customFormat="1" ht="11.25"/>
    <row r="137" s="10" customFormat="1" ht="11.25"/>
    <row r="138" s="10" customFormat="1" ht="11.25"/>
    <row r="139" s="10" customFormat="1" ht="11.25"/>
    <row r="140" s="10" customFormat="1" ht="11.25"/>
    <row r="141" s="10" customFormat="1" ht="11.25"/>
    <row r="142" s="10" customFormat="1" ht="11.25"/>
    <row r="143" s="10" customFormat="1" ht="11.25"/>
    <row r="144" s="10" customFormat="1" ht="11.25"/>
    <row r="145" s="10" customFormat="1" ht="11.25"/>
    <row r="146" s="10" customFormat="1" ht="11.25"/>
    <row r="147" s="10" customFormat="1" ht="11.25"/>
    <row r="148" s="10" customFormat="1" ht="11.25"/>
    <row r="149" s="10" customFormat="1" ht="11.25"/>
    <row r="150" s="10" customFormat="1" ht="11.25"/>
    <row r="151" s="10" customFormat="1" ht="11.25"/>
    <row r="152" s="10" customFormat="1" ht="11.25"/>
    <row r="153" s="10" customFormat="1" ht="11.25"/>
    <row r="154" s="10" customFormat="1" ht="11.25"/>
    <row r="155" s="10" customFormat="1" ht="11.25"/>
    <row r="156" s="10" customFormat="1" ht="11.25"/>
    <row r="157" s="10" customFormat="1" ht="11.25"/>
    <row r="158" s="10" customFormat="1" ht="11.25"/>
    <row r="159" s="10" customFormat="1" ht="11.25"/>
    <row r="160" s="10" customFormat="1" ht="11.25"/>
    <row r="161" s="10" customFormat="1" ht="11.25"/>
    <row r="162" s="10" customFormat="1" ht="11.25"/>
    <row r="163" s="10" customFormat="1" ht="11.25"/>
    <row r="164" s="10" customFormat="1" ht="11.25"/>
    <row r="165" s="10" customFormat="1" ht="11.25"/>
    <row r="166" s="10" customFormat="1" ht="11.25"/>
    <row r="167" s="10" customFormat="1" ht="11.25"/>
    <row r="168" s="10" customFormat="1" ht="11.25"/>
    <row r="169" s="10" customFormat="1" ht="11.25"/>
    <row r="170" s="10" customFormat="1" ht="11.25"/>
    <row r="171" s="10" customFormat="1" ht="11.25"/>
    <row r="172" s="10" customFormat="1" ht="11.25"/>
    <row r="173" s="10" customFormat="1" ht="11.25"/>
    <row r="174" s="10" customFormat="1" ht="11.25"/>
    <row r="175" s="10" customFormat="1" ht="11.25"/>
    <row r="176" s="10" customFormat="1" ht="11.25"/>
    <row r="177" s="10" customFormat="1" ht="11.25"/>
    <row r="178" s="10" customFormat="1" ht="11.25"/>
    <row r="179" s="10" customFormat="1" ht="11.25"/>
    <row r="180" s="10" customFormat="1" ht="11.25"/>
    <row r="181" s="10" customFormat="1" ht="11.25"/>
    <row r="182" s="10" customFormat="1" ht="11.25"/>
    <row r="183" s="10" customFormat="1" ht="11.25"/>
    <row r="184" s="10" customFormat="1" ht="11.25"/>
    <row r="185" s="10" customFormat="1" ht="11.25"/>
    <row r="186" s="10" customFormat="1" ht="11.25"/>
    <row r="187" s="10" customFormat="1" ht="11.25"/>
    <row r="188" s="10" customFormat="1" ht="11.25"/>
    <row r="189" s="10" customFormat="1" ht="11.25"/>
    <row r="190" s="10" customFormat="1" ht="11.25"/>
    <row r="191" s="10" customFormat="1" ht="11.25"/>
    <row r="192" s="10" customFormat="1" ht="11.25"/>
    <row r="193" s="10" customFormat="1" ht="11.25"/>
    <row r="194" s="10" customFormat="1" ht="11.25"/>
    <row r="195" s="10" customFormat="1" ht="11.25"/>
    <row r="196" s="10" customFormat="1" ht="11.25"/>
    <row r="197" s="10" customFormat="1" ht="11.25"/>
    <row r="198" s="10" customFormat="1" ht="11.25"/>
    <row r="199" s="10" customFormat="1" ht="11.25"/>
    <row r="200" s="10" customFormat="1" ht="11.25"/>
    <row r="201" s="10" customFormat="1" ht="11.25"/>
    <row r="202" s="10" customFormat="1" ht="11.25"/>
    <row r="203" s="10" customFormat="1" ht="11.25"/>
    <row r="204" s="10" customFormat="1" ht="11.25"/>
    <row r="205" s="10" customFormat="1" ht="11.25"/>
    <row r="206" s="10" customFormat="1" ht="11.25"/>
    <row r="207" s="10" customFormat="1" ht="11.25"/>
    <row r="208" s="10" customFormat="1" ht="11.25"/>
    <row r="209" s="10" customFormat="1" ht="11.25"/>
    <row r="210" s="10" customFormat="1" ht="11.25"/>
    <row r="211" s="10" customFormat="1" ht="11.25"/>
    <row r="212" s="10" customFormat="1" ht="11.25"/>
    <row r="213" s="10" customFormat="1" ht="11.25"/>
    <row r="214" s="10" customFormat="1" ht="11.25"/>
    <row r="215" s="10" customFormat="1" ht="11.25"/>
    <row r="216" s="10" customFormat="1" ht="11.25"/>
    <row r="217" s="10" customFormat="1" ht="11.25"/>
    <row r="218" s="10" customFormat="1" ht="11.25"/>
    <row r="219" s="10" customFormat="1" ht="11.25"/>
    <row r="220" s="10" customFormat="1" ht="11.25"/>
    <row r="221" s="10" customFormat="1" ht="11.25"/>
    <row r="222" s="10" customFormat="1" ht="11.25"/>
    <row r="223" s="10" customFormat="1" ht="11.25"/>
    <row r="224" s="10" customFormat="1" ht="11.25"/>
    <row r="225" s="10" customFormat="1" ht="11.25"/>
    <row r="226" s="10" customFormat="1" ht="11.25"/>
    <row r="227" s="10" customFormat="1" ht="11.25"/>
    <row r="228" s="10" customFormat="1" ht="11.25"/>
    <row r="229" s="10" customFormat="1" ht="11.25"/>
    <row r="230" s="10" customFormat="1" ht="11.25"/>
    <row r="231" s="10" customFormat="1" ht="11.25"/>
    <row r="232" s="10" customFormat="1" ht="11.25"/>
    <row r="233" s="10" customFormat="1" ht="11.25"/>
    <row r="234" s="10" customFormat="1" ht="11.25"/>
    <row r="235" s="10" customFormat="1" ht="11.25"/>
    <row r="236" s="10" customFormat="1" ht="11.25"/>
    <row r="237" s="10" customFormat="1" ht="11.25"/>
    <row r="238" s="10" customFormat="1" ht="11.25"/>
    <row r="239" s="10" customFormat="1" ht="11.25"/>
    <row r="240" s="10" customFormat="1" ht="11.25"/>
    <row r="241" s="10" customFormat="1" ht="11.25"/>
    <row r="242" s="10" customFormat="1" ht="11.25"/>
    <row r="243" s="10" customFormat="1" ht="11.25"/>
    <row r="244" s="10" customFormat="1" ht="11.25"/>
    <row r="245" s="10" customFormat="1" ht="11.25"/>
    <row r="246" s="10" customFormat="1" ht="11.25"/>
    <row r="247" s="10" customFormat="1" ht="11.25"/>
    <row r="248" s="10" customFormat="1" ht="11.25"/>
    <row r="249" s="10" customFormat="1" ht="11.25"/>
    <row r="250" s="10" customFormat="1" ht="11.25"/>
    <row r="251" s="10" customFormat="1" ht="11.25"/>
    <row r="252" s="10" customFormat="1" ht="11.25"/>
    <row r="253" s="10" customFormat="1" ht="11.25"/>
    <row r="254" s="10" customFormat="1" ht="11.25"/>
    <row r="255" s="10" customFormat="1" ht="11.25"/>
    <row r="256" s="10" customFormat="1" ht="11.25"/>
    <row r="257" s="10" customFormat="1" ht="11.25"/>
    <row r="258" s="10" customFormat="1" ht="11.25"/>
    <row r="259" s="10" customFormat="1" ht="11.25"/>
    <row r="260" s="10" customFormat="1" ht="11.25"/>
    <row r="261" s="10" customFormat="1" ht="11.25"/>
    <row r="262" s="10" customFormat="1" ht="11.25"/>
    <row r="263" s="10" customFormat="1" ht="11.25"/>
    <row r="264" s="10" customFormat="1" ht="11.25"/>
    <row r="265" s="10" customFormat="1" ht="11.25"/>
    <row r="266" s="10" customFormat="1" ht="11.25"/>
    <row r="267" s="10" customFormat="1" ht="11.25"/>
    <row r="268" s="10" customFormat="1" ht="11.25"/>
    <row r="269" s="10" customFormat="1" ht="11.25"/>
    <row r="270" s="10" customFormat="1" ht="11.25"/>
    <row r="271" s="10" customFormat="1" ht="11.25"/>
    <row r="272" s="10" customFormat="1" ht="11.25"/>
    <row r="273" s="10" customFormat="1" ht="11.25"/>
    <row r="274" s="10" customFormat="1" ht="11.25"/>
    <row r="275" s="10" customFormat="1" ht="11.25"/>
    <row r="276" s="10" customFormat="1" ht="11.25"/>
    <row r="277" s="10" customFormat="1" ht="11.25"/>
    <row r="278" s="10" customFormat="1" ht="11.25"/>
    <row r="279" s="10" customFormat="1" ht="11.25"/>
    <row r="280" s="10" customFormat="1" ht="11.25"/>
    <row r="281" s="10" customFormat="1" ht="11.25"/>
    <row r="282" s="10" customFormat="1" ht="11.25"/>
    <row r="283" s="10" customFormat="1" ht="11.25"/>
    <row r="284" s="10" customFormat="1" ht="11.25"/>
    <row r="285" s="10" customFormat="1" ht="11.25"/>
    <row r="286" s="10" customFormat="1" ht="11.25"/>
    <row r="287" s="10"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G21" sqref="G21"/>
    </sheetView>
  </sheetViews>
  <sheetFormatPr defaultColWidth="9" defaultRowHeight="14.25" outlineLevelRow="7" outlineLevelCol="5"/>
  <cols>
    <col min="1" max="1" width="18.625" customWidth="1"/>
    <col min="2" max="2" width="16" customWidth="1"/>
    <col min="3" max="3" width="21.5" customWidth="1"/>
    <col min="4" max="4" width="13.75" customWidth="1"/>
    <col min="5" max="5" width="19" customWidth="1"/>
    <col min="6" max="6" width="20.3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6">
      <c r="A1" s="3" t="s">
        <v>341</v>
      </c>
      <c r="B1" s="4" t="s">
        <v>342</v>
      </c>
      <c r="C1" s="3" t="s">
        <v>343</v>
      </c>
      <c r="D1" s="4" t="s">
        <v>344</v>
      </c>
      <c r="E1" s="3" t="s">
        <v>345</v>
      </c>
      <c r="F1" s="3" t="s">
        <v>346</v>
      </c>
    </row>
    <row r="2" spans="1:6">
      <c r="A2" s="3" t="s">
        <v>347</v>
      </c>
      <c r="B2" s="4" t="s">
        <v>348</v>
      </c>
      <c r="C2" s="3" t="s">
        <v>257</v>
      </c>
      <c r="D2" s="4" t="s">
        <v>349</v>
      </c>
      <c r="E2" s="3" t="s">
        <v>350</v>
      </c>
      <c r="F2" s="3" t="s">
        <v>103</v>
      </c>
    </row>
    <row r="3" spans="1:6">
      <c r="A3" s="3" t="s">
        <v>351</v>
      </c>
      <c r="C3" s="3" t="s">
        <v>258</v>
      </c>
      <c r="D3" s="4" t="s">
        <v>352</v>
      </c>
      <c r="E3" s="3" t="s">
        <v>353</v>
      </c>
      <c r="F3" s="3" t="s">
        <v>104</v>
      </c>
    </row>
    <row r="4" spans="3:6">
      <c r="C4" s="3" t="s">
        <v>259</v>
      </c>
      <c r="D4" s="4" t="s">
        <v>354</v>
      </c>
      <c r="E4" s="3" t="s">
        <v>355</v>
      </c>
      <c r="F4" s="3" t="s">
        <v>105</v>
      </c>
    </row>
    <row r="5" spans="3:6">
      <c r="C5" s="3" t="s">
        <v>356</v>
      </c>
      <c r="D5" s="4" t="s">
        <v>357</v>
      </c>
      <c r="E5" s="3" t="s">
        <v>358</v>
      </c>
      <c r="F5" s="3" t="s">
        <v>106</v>
      </c>
    </row>
    <row r="6" spans="5:5">
      <c r="E6" s="3" t="s">
        <v>359</v>
      </c>
    </row>
    <row r="7" spans="3:5">
      <c r="C7" s="9"/>
      <c r="E7" s="3" t="s">
        <v>360</v>
      </c>
    </row>
    <row r="8" spans="3:5">
      <c r="C8" s="9"/>
      <c r="E8" s="3" t="s">
        <v>361</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E1" workbookViewId="0">
      <selection activeCell="E30" sqref="E30"/>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362</v>
      </c>
      <c r="B1" s="2" t="s">
        <v>363</v>
      </c>
      <c r="C1" s="3" t="s">
        <v>364</v>
      </c>
      <c r="D1" s="4" t="s">
        <v>365</v>
      </c>
      <c r="E1" s="3" t="s">
        <v>110</v>
      </c>
      <c r="F1" s="3" t="s">
        <v>366</v>
      </c>
      <c r="G1" s="3" t="s">
        <v>367</v>
      </c>
      <c r="H1" s="3" t="s">
        <v>368</v>
      </c>
      <c r="I1" s="3" t="s">
        <v>369</v>
      </c>
      <c r="J1" s="3" t="s">
        <v>370</v>
      </c>
      <c r="K1" s="3" t="s">
        <v>257</v>
      </c>
      <c r="L1" s="3" t="s">
        <v>258</v>
      </c>
      <c r="M1" s="3" t="s">
        <v>371</v>
      </c>
      <c r="N1" s="3" t="s">
        <v>348</v>
      </c>
      <c r="O1" s="2" t="s">
        <v>372</v>
      </c>
      <c r="P1" s="8" t="s">
        <v>373</v>
      </c>
      <c r="Q1" s="2" t="s">
        <v>356</v>
      </c>
    </row>
    <row r="2" spans="1:17">
      <c r="A2" s="5" t="s">
        <v>374</v>
      </c>
      <c r="B2" s="6" t="s">
        <v>375</v>
      </c>
      <c r="C2" s="3" t="s">
        <v>150</v>
      </c>
      <c r="D2" s="4" t="s">
        <v>232</v>
      </c>
      <c r="E2" s="3" t="s">
        <v>376</v>
      </c>
      <c r="F2" s="4" t="s">
        <v>349</v>
      </c>
      <c r="G2" s="4" t="s">
        <v>377</v>
      </c>
      <c r="H2" s="3" t="s">
        <v>378</v>
      </c>
      <c r="I2" s="3" t="s">
        <v>379</v>
      </c>
      <c r="J2" s="4" t="s">
        <v>380</v>
      </c>
      <c r="K2" s="3" t="s">
        <v>381</v>
      </c>
      <c r="L2" s="3" t="s">
        <v>382</v>
      </c>
      <c r="M2" s="3" t="s">
        <v>383</v>
      </c>
      <c r="N2" s="4" t="s">
        <v>348</v>
      </c>
      <c r="O2" s="2" t="s">
        <v>384</v>
      </c>
      <c r="P2" s="2" t="s">
        <v>385</v>
      </c>
      <c r="Q2" s="8" t="s">
        <v>386</v>
      </c>
    </row>
    <row r="3" spans="1:16">
      <c r="A3" s="5" t="s">
        <v>387</v>
      </c>
      <c r="B3" s="6" t="s">
        <v>177</v>
      </c>
      <c r="C3" s="3" t="s">
        <v>151</v>
      </c>
      <c r="D3" s="4" t="s">
        <v>233</v>
      </c>
      <c r="E3" s="3" t="s">
        <v>388</v>
      </c>
      <c r="F3" s="4" t="s">
        <v>352</v>
      </c>
      <c r="G3" s="4" t="s">
        <v>349</v>
      </c>
      <c r="H3" s="3" t="s">
        <v>389</v>
      </c>
      <c r="I3" s="3" t="s">
        <v>390</v>
      </c>
      <c r="J3" s="4" t="s">
        <v>391</v>
      </c>
      <c r="K3" s="3" t="s">
        <v>392</v>
      </c>
      <c r="L3" s="3" t="s">
        <v>393</v>
      </c>
      <c r="O3" s="2" t="s">
        <v>351</v>
      </c>
      <c r="P3" s="2" t="s">
        <v>394</v>
      </c>
    </row>
    <row r="4" spans="1:16">
      <c r="A4" s="5" t="s">
        <v>395</v>
      </c>
      <c r="B4" s="6" t="s">
        <v>396</v>
      </c>
      <c r="C4" s="3" t="s">
        <v>152</v>
      </c>
      <c r="D4" s="4" t="s">
        <v>234</v>
      </c>
      <c r="E4" s="3" t="s">
        <v>397</v>
      </c>
      <c r="F4" s="4" t="s">
        <v>354</v>
      </c>
      <c r="G4" s="4" t="s">
        <v>352</v>
      </c>
      <c r="H4" s="3" t="s">
        <v>398</v>
      </c>
      <c r="I4" s="3" t="s">
        <v>399</v>
      </c>
      <c r="J4" s="4"/>
      <c r="K4" s="3" t="s">
        <v>400</v>
      </c>
      <c r="L4" s="3"/>
      <c r="O4" s="2" t="s">
        <v>401</v>
      </c>
      <c r="P4" s="2"/>
    </row>
    <row r="5" spans="1:11">
      <c r="A5" s="5" t="s">
        <v>132</v>
      </c>
      <c r="B5" s="6" t="s">
        <v>402</v>
      </c>
      <c r="C5" s="3" t="s">
        <v>153</v>
      </c>
      <c r="D5" s="4" t="s">
        <v>235</v>
      </c>
      <c r="E5" s="3" t="s">
        <v>403</v>
      </c>
      <c r="F5" s="4" t="s">
        <v>404</v>
      </c>
      <c r="G5" s="4" t="s">
        <v>354</v>
      </c>
      <c r="H5" s="3" t="s">
        <v>405</v>
      </c>
      <c r="I5" s="3" t="s">
        <v>406</v>
      </c>
      <c r="K5" s="3" t="s">
        <v>407</v>
      </c>
    </row>
    <row r="6" spans="1:11">
      <c r="A6" s="5" t="s">
        <v>133</v>
      </c>
      <c r="B6" s="6" t="s">
        <v>171</v>
      </c>
      <c r="C6" s="3" t="s">
        <v>154</v>
      </c>
      <c r="E6" s="3" t="s">
        <v>408</v>
      </c>
      <c r="F6" s="4" t="s">
        <v>357</v>
      </c>
      <c r="G6" s="4" t="s">
        <v>404</v>
      </c>
      <c r="H6" s="3" t="s">
        <v>409</v>
      </c>
      <c r="K6" s="3" t="s">
        <v>410</v>
      </c>
    </row>
    <row r="7" spans="1:11">
      <c r="A7" s="5" t="s">
        <v>134</v>
      </c>
      <c r="B7" s="6" t="s">
        <v>411</v>
      </c>
      <c r="C7" s="3"/>
      <c r="E7" s="3" t="s">
        <v>412</v>
      </c>
      <c r="G7" s="4" t="s">
        <v>357</v>
      </c>
      <c r="H7" s="3" t="s">
        <v>413</v>
      </c>
      <c r="K7" s="3" t="s">
        <v>414</v>
      </c>
    </row>
    <row r="8" spans="1:11">
      <c r="A8" s="5" t="s">
        <v>135</v>
      </c>
      <c r="B8" s="6" t="s">
        <v>173</v>
      </c>
      <c r="E8" s="3" t="s">
        <v>415</v>
      </c>
      <c r="H8" s="3" t="s">
        <v>416</v>
      </c>
      <c r="K8" s="3" t="s">
        <v>417</v>
      </c>
    </row>
    <row r="9" spans="1:11">
      <c r="A9" s="5" t="s">
        <v>136</v>
      </c>
      <c r="B9" s="6" t="s">
        <v>418</v>
      </c>
      <c r="E9" s="3" t="s">
        <v>419</v>
      </c>
      <c r="K9" s="3"/>
    </row>
    <row r="10" spans="2:5">
      <c r="B10" s="6" t="s">
        <v>172</v>
      </c>
      <c r="E10" s="3" t="s">
        <v>420</v>
      </c>
    </row>
    <row r="11" spans="2:5">
      <c r="B11" s="6" t="s">
        <v>174</v>
      </c>
      <c r="E11" s="3" t="s">
        <v>421</v>
      </c>
    </row>
    <row r="13" spans="2:2">
      <c r="B13" s="7"/>
    </row>
    <row r="14" spans="2:2">
      <c r="B14" s="7"/>
    </row>
    <row r="15" spans="2:2">
      <c r="B15" s="7"/>
    </row>
    <row r="16" spans="2:2">
      <c r="B16" s="7"/>
    </row>
    <row r="17" spans="2:2">
      <c r="B17" s="7"/>
    </row>
    <row r="18" spans="2:2">
      <c r="B18" s="7"/>
    </row>
    <row r="19" spans="2:2">
      <c r="B19" s="7"/>
    </row>
    <row r="20" spans="2:2">
      <c r="B20" s="7"/>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2FFE296788724E31A0A407C274253288_13</vt:lpwstr>
  </property>
  <property fmtid="{D5CDD505-2E9C-101B-9397-08002B2CF9AE}" pid="3" name="KSOProductBuildVer">
    <vt:lpwstr>2052-12.1.0.15712</vt:lpwstr>
  </property>
</Properties>
</file>