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D01C" lockStructure="1"/>
  <bookViews>
    <workbookView windowWidth="27945" windowHeight="12375"/>
  </bookViews>
  <sheets>
    <sheet name="量化赋分表" sheetId="4" r:id="rId1"/>
    <sheet name="汇总表" sheetId="5" r:id="rId2"/>
    <sheet name="数据引用表" sheetId="15" state="hidden" r:id="rId3"/>
    <sheet name="其他参数" sheetId="14" state="hidden" r:id="rId4"/>
  </sheets>
  <definedNames>
    <definedName name="_xlnm.Print_Area" localSheetId="0">量化赋分表!$B$6:$O$172</definedName>
    <definedName name="本人">数据引用表!#REF!</definedName>
    <definedName name="二等奖">数据引用表!#REF!</definedName>
    <definedName name="辅导员名师">数据引用表!#REF!</definedName>
    <definedName name="骨干教师">数据引用表!#REF!</definedName>
    <definedName name="技能大师">数据引用表!#REF!</definedName>
    <definedName name="教材建设奖">数据引用表!#REF!</definedName>
    <definedName name="教师教学创新团队">数据引用表!#REF!</definedName>
    <definedName name="教学名师">数据引用表!#REF!</definedName>
    <definedName name="精品教材">数据引用表!#REF!</definedName>
    <definedName name="精品课程">数据引用表!#REF!</definedName>
    <definedName name="精品课程建设">数据引用表!#REF!</definedName>
    <definedName name="竞赛、比赛、大赛">数据引用表!#REF!</definedName>
    <definedName name="竞赛比赛">数据引用表!#REF!</definedName>
    <definedName name="科研创新团队">数据引用表!#REF!</definedName>
    <definedName name="科研骨干">数据引用表!#REF!</definedName>
    <definedName name="课程建设">其他参数!$I$2:$I$5</definedName>
    <definedName name="品牌专业">数据引用表!#REF!</definedName>
    <definedName name="其他">数据引用表!#REF!</definedName>
    <definedName name="青年教师">数据引用表!#REF!</definedName>
    <definedName name="人才培养方案制定">数据引用表!#REF!</definedName>
    <definedName name="三等奖">数据引用表!#REF!</definedName>
    <definedName name="示范专业">数据引用表!#REF!</definedName>
    <definedName name="书证融通">数据引用表!#REF!</definedName>
    <definedName name="双高专业群">数据引用表!#REF!</definedName>
    <definedName name="团队建设">其他参数!$J$2:$J$3</definedName>
    <definedName name="学生技能大赛">数据引用表!#REF!</definedName>
    <definedName name="学术带头人">数据引用表!#REF!</definedName>
    <definedName name="一等奖">数据引用表!#REF!</definedName>
    <definedName name="优秀教师">数据引用表!#REF!</definedName>
    <definedName name="优秀教学团队">数据引用表!#REF!</definedName>
    <definedName name="优秀青年教师">数据引用表!#REF!</definedName>
    <definedName name="证书1十X">数据引用表!#REF!</definedName>
    <definedName name="周期建设项目">数据引用表!#REF!</definedName>
    <definedName name="专业带头人">数据引用表!#REF!</definedName>
    <definedName name="专业建设">其他参数!$H$2:$H$8</definedName>
    <definedName name="资源库建设">数据引用表!#REF!</definedName>
    <definedName name="学术论文或文章发表">其他参数!$A$2:$A$9</definedName>
    <definedName name="著作、教材及教学_实验_标准">其他参数!$B$2:$B$10</definedName>
    <definedName name="个人荣誉">数据引用表!$H$2:$H$7</definedName>
    <definedName name="团体荣誉">其他参数!$L$2:$L$3</definedName>
    <definedName name="产教融合项目">其他参数!$N$2</definedName>
    <definedName name="文化建设项目">其他参数!$M$2</definedName>
    <definedName name="其他建设项目">其他参数!$O$2:$O$4</definedName>
    <definedName name="工作项目荣誉">其他参数!$P$2:$P$3</definedName>
    <definedName name="服务专业领域">数据引用表!$D$2:$D$5</definedName>
    <definedName name="服务行业企业">数据引用表!$E$2:$E$8</definedName>
    <definedName name="项目设计能力">数据引用表!$A$2:$A$3</definedName>
    <definedName name="产教融合能力">数据引用表!$B$2</definedName>
    <definedName name="品牌_示范_专业">其他参数!$H$3:$H$8</definedName>
    <definedName name="素质教育类社团指导">数据引用表!$I$2</definedName>
  </definedNames>
  <calcPr calcId="144525"/>
</workbook>
</file>

<file path=xl/comments1.xml><?xml version="1.0" encoding="utf-8"?>
<comments xmlns="http://schemas.openxmlformats.org/spreadsheetml/2006/main">
  <authors>
    <author>作者</author>
    <author>admin</author>
    <author>Admin</author>
    <author>Lenovo User</author>
    <author>FtpDown</author>
  </authors>
  <commentList>
    <comment ref="F25" authorId="0">
      <text>
        <r>
          <rPr>
            <b/>
            <sz val="9"/>
            <rFont val="宋体"/>
            <charset val="134"/>
          </rPr>
          <t>作者:</t>
        </r>
        <r>
          <rPr>
            <sz val="9"/>
            <rFont val="宋体"/>
            <charset val="134"/>
          </rPr>
          <t xml:space="preserve">
请在下拉列表中选择填写内容！</t>
        </r>
      </text>
    </comment>
    <comment ref="J25" authorId="1">
      <text>
        <r>
          <rPr>
            <b/>
            <sz val="9"/>
            <rFont val="宋体"/>
            <charset val="134"/>
          </rPr>
          <t>admin:</t>
        </r>
        <r>
          <rPr>
            <sz val="9"/>
            <rFont val="宋体"/>
            <charset val="134"/>
          </rPr>
          <t xml:space="preserve">
请规范填写时间！格式为“1999年10月1日”
</t>
        </r>
      </text>
    </comment>
    <comment ref="D26" authorId="1">
      <text>
        <r>
          <rPr>
            <b/>
            <sz val="9"/>
            <rFont val="宋体"/>
            <charset val="134"/>
          </rPr>
          <t>admin:</t>
        </r>
        <r>
          <rPr>
            <sz val="9"/>
            <rFont val="宋体"/>
            <charset val="134"/>
          </rPr>
          <t xml:space="preserve">
请在下拉列表中选择填写内容！
</t>
        </r>
      </text>
    </comment>
    <comment ref="D27" authorId="1">
      <text>
        <r>
          <rPr>
            <b/>
            <sz val="9"/>
            <rFont val="宋体"/>
            <charset val="134"/>
          </rPr>
          <t>admin:</t>
        </r>
        <r>
          <rPr>
            <sz val="9"/>
            <rFont val="宋体"/>
            <charset val="134"/>
          </rPr>
          <t xml:space="preserve">
请规范填写时间！格式为“1999年10月”</t>
        </r>
      </text>
    </comment>
    <comment ref="I28" authorId="1">
      <text>
        <r>
          <rPr>
            <b/>
            <sz val="9"/>
            <rFont val="宋体"/>
            <charset val="134"/>
          </rPr>
          <t>admin:</t>
        </r>
        <r>
          <rPr>
            <sz val="9"/>
            <rFont val="宋体"/>
            <charset val="134"/>
          </rPr>
          <t xml:space="preserve">
作者:
1、请规范填写时间！格式为“1999年10月”
</t>
        </r>
      </text>
    </comment>
    <comment ref="J29" authorId="1">
      <text>
        <r>
          <rPr>
            <b/>
            <sz val="9"/>
            <rFont val="宋体"/>
            <charset val="134"/>
          </rPr>
          <t>admin:</t>
        </r>
        <r>
          <rPr>
            <sz val="9"/>
            <rFont val="宋体"/>
            <charset val="134"/>
          </rPr>
          <t xml:space="preserve">
1、请规范填写时间！格式为“7”</t>
        </r>
      </text>
    </comment>
    <comment ref="C50" authorId="1">
      <text>
        <r>
          <rPr>
            <b/>
            <sz val="9"/>
            <rFont val="宋体"/>
            <charset val="134"/>
          </rPr>
          <t>admin:</t>
        </r>
        <r>
          <rPr>
            <sz val="9"/>
            <rFont val="宋体"/>
            <charset val="134"/>
          </rPr>
          <t xml:space="preserve">
请在下拉列表中选择填写内容！
</t>
        </r>
      </text>
    </comment>
    <comment ref="E50" authorId="1">
      <text>
        <r>
          <rPr>
            <b/>
            <sz val="9"/>
            <rFont val="宋体"/>
            <charset val="134"/>
          </rPr>
          <t>admin:</t>
        </r>
        <r>
          <rPr>
            <sz val="9"/>
            <rFont val="宋体"/>
            <charset val="134"/>
          </rPr>
          <t xml:space="preserve">
填写格式例：
2012年09月1日-2014年9月6日。
</t>
        </r>
      </text>
    </comment>
    <comment ref="J50" authorId="1">
      <text>
        <r>
          <rPr>
            <b/>
            <sz val="9"/>
            <rFont val="宋体"/>
            <charset val="134"/>
          </rPr>
          <t>admin:</t>
        </r>
        <r>
          <rPr>
            <sz val="9"/>
            <rFont val="宋体"/>
            <charset val="134"/>
          </rPr>
          <t xml:space="preserve">
线上培训地点为“线上及学习平台”；线下培训写明培训城市或培训院校（单位)</t>
        </r>
      </text>
    </comment>
    <comment ref="E62" authorId="1">
      <text>
        <r>
          <rPr>
            <b/>
            <sz val="9"/>
            <rFont val="宋体"/>
            <charset val="134"/>
          </rPr>
          <t>admin:</t>
        </r>
        <r>
          <rPr>
            <sz val="9"/>
            <rFont val="宋体"/>
            <charset val="134"/>
          </rPr>
          <t xml:space="preserve">
填写格式例：
2012年09月-2014年9月</t>
        </r>
      </text>
    </comment>
    <comment ref="B67" authorId="0">
      <text>
        <r>
          <rPr>
            <b/>
            <sz val="9"/>
            <rFont val="宋体"/>
            <charset val="134"/>
          </rPr>
          <t>作者:</t>
        </r>
        <r>
          <rPr>
            <sz val="9"/>
            <rFont val="宋体"/>
            <charset val="134"/>
          </rPr>
          <t xml:space="preserve">
请在下拉列表中选择填写内容！“示范专业”请选择“品牌专业”。</t>
        </r>
      </text>
    </comment>
    <comment ref="C67" authorId="2">
      <text>
        <r>
          <rPr>
            <b/>
            <sz val="9"/>
            <rFont val="宋体"/>
            <charset val="134"/>
          </rPr>
          <t>Admin:</t>
        </r>
        <r>
          <rPr>
            <sz val="9"/>
            <rFont val="宋体"/>
            <charset val="134"/>
          </rPr>
          <t xml:space="preserve">
请在下拉列表中选择填写内容！
</t>
        </r>
      </text>
    </comment>
    <comment ref="E67" authorId="0">
      <text>
        <r>
          <rPr>
            <b/>
            <sz val="9"/>
            <rFont val="宋体"/>
            <charset val="134"/>
          </rPr>
          <t>作者:</t>
        </r>
        <r>
          <rPr>
            <sz val="9"/>
            <rFont val="宋体"/>
            <charset val="134"/>
          </rPr>
          <t xml:space="preserve">
请在下拉列表中选择填写内容！</t>
        </r>
      </text>
    </comment>
    <comment ref="I67" authorId="3">
      <text>
        <r>
          <rPr>
            <b/>
            <sz val="9"/>
            <rFont val="宋体"/>
            <charset val="134"/>
          </rPr>
          <t xml:space="preserve">作者:
</t>
        </r>
        <r>
          <rPr>
            <sz val="9"/>
            <rFont val="宋体"/>
            <charset val="134"/>
          </rPr>
          <t>请在下拉列表中选择填写内容！</t>
        </r>
      </text>
    </comment>
    <comment ref="J67" authorId="0">
      <text>
        <r>
          <rPr>
            <b/>
            <sz val="9"/>
            <rFont val="宋体"/>
            <charset val="134"/>
          </rPr>
          <t>作者:
直接填写数字！</t>
        </r>
        <r>
          <rPr>
            <sz val="9"/>
            <rFont val="宋体"/>
            <charset val="134"/>
          </rPr>
          <t>属“独立完成”不填写本栏目。</t>
        </r>
      </text>
    </comment>
    <comment ref="K67" authorId="0">
      <text>
        <r>
          <rPr>
            <b/>
            <sz val="9"/>
            <rFont val="宋体"/>
            <charset val="134"/>
          </rPr>
          <t>作者:
直接填写数字！</t>
        </r>
        <r>
          <rPr>
            <sz val="9"/>
            <rFont val="宋体"/>
            <charset val="134"/>
          </rPr>
          <t>属“独立完成”不填写本栏目。</t>
        </r>
      </text>
    </comment>
    <comment ref="B73" authorId="0">
      <text>
        <r>
          <rPr>
            <b/>
            <sz val="9"/>
            <rFont val="宋体"/>
            <charset val="134"/>
          </rPr>
          <t>作者:</t>
        </r>
        <r>
          <rPr>
            <sz val="9"/>
            <rFont val="宋体"/>
            <charset val="134"/>
          </rPr>
          <t xml:space="preserve">
请在下拉列表中选择填写内容！</t>
        </r>
      </text>
    </comment>
    <comment ref="C73" authorId="2">
      <text>
        <r>
          <rPr>
            <b/>
            <sz val="9"/>
            <rFont val="宋体"/>
            <charset val="134"/>
          </rPr>
          <t>Admin:</t>
        </r>
        <r>
          <rPr>
            <sz val="9"/>
            <rFont val="宋体"/>
            <charset val="134"/>
          </rPr>
          <t xml:space="preserve">
请在下拉列表中选择填写内容！
</t>
        </r>
      </text>
    </comment>
    <comment ref="E73" authorId="0">
      <text>
        <r>
          <rPr>
            <b/>
            <sz val="9"/>
            <rFont val="宋体"/>
            <charset val="134"/>
          </rPr>
          <t>作者:</t>
        </r>
        <r>
          <rPr>
            <sz val="9"/>
            <rFont val="宋体"/>
            <charset val="134"/>
          </rPr>
          <t xml:space="preserve">
请在下拉列表中选择填写内容！</t>
        </r>
      </text>
    </comment>
    <comment ref="I73" authorId="3">
      <text>
        <r>
          <rPr>
            <b/>
            <sz val="9"/>
            <rFont val="宋体"/>
            <charset val="134"/>
          </rPr>
          <t xml:space="preserve">作者:
</t>
        </r>
        <r>
          <rPr>
            <sz val="9"/>
            <rFont val="宋体"/>
            <charset val="134"/>
          </rPr>
          <t>请在下拉列表中选择填写内容！</t>
        </r>
      </text>
    </comment>
    <comment ref="J73" authorId="0">
      <text>
        <r>
          <rPr>
            <b/>
            <sz val="9"/>
            <rFont val="宋体"/>
            <charset val="134"/>
          </rPr>
          <t>作者:
直接填写数字！</t>
        </r>
        <r>
          <rPr>
            <sz val="9"/>
            <rFont val="宋体"/>
            <charset val="134"/>
          </rPr>
          <t>属“独立完成”不填写本栏目。</t>
        </r>
      </text>
    </comment>
    <comment ref="K73" authorId="0">
      <text>
        <r>
          <rPr>
            <b/>
            <sz val="9"/>
            <rFont val="宋体"/>
            <charset val="134"/>
          </rPr>
          <t>作者:
直接填写数字！</t>
        </r>
        <r>
          <rPr>
            <sz val="9"/>
            <rFont val="宋体"/>
            <charset val="134"/>
          </rPr>
          <t>属“独立完成”不填写本栏目。</t>
        </r>
      </text>
    </comment>
    <comment ref="B76" authorId="0">
      <text>
        <r>
          <rPr>
            <b/>
            <sz val="9"/>
            <rFont val="宋体"/>
            <charset val="134"/>
          </rPr>
          <t>作者:</t>
        </r>
        <r>
          <rPr>
            <sz val="9"/>
            <rFont val="宋体"/>
            <charset val="134"/>
          </rPr>
          <t xml:space="preserve">
请在下拉列表中选择填写内容！“示范专业”请选择“品牌专业”。</t>
        </r>
      </text>
    </comment>
    <comment ref="C76" authorId="2">
      <text>
        <r>
          <rPr>
            <b/>
            <sz val="9"/>
            <rFont val="宋体"/>
            <charset val="134"/>
          </rPr>
          <t>Admin:</t>
        </r>
        <r>
          <rPr>
            <sz val="9"/>
            <rFont val="宋体"/>
            <charset val="134"/>
          </rPr>
          <t xml:space="preserve">
请在下拉列表中选择填写内容！
</t>
        </r>
      </text>
    </comment>
    <comment ref="E76" authorId="0">
      <text>
        <r>
          <rPr>
            <b/>
            <sz val="9"/>
            <rFont val="宋体"/>
            <charset val="134"/>
          </rPr>
          <t>作者:</t>
        </r>
        <r>
          <rPr>
            <sz val="9"/>
            <rFont val="宋体"/>
            <charset val="134"/>
          </rPr>
          <t xml:space="preserve">
请在下拉列表中选择填写内容！</t>
        </r>
      </text>
    </comment>
    <comment ref="I76" authorId="3">
      <text>
        <r>
          <rPr>
            <b/>
            <sz val="9"/>
            <rFont val="宋体"/>
            <charset val="134"/>
          </rPr>
          <t xml:space="preserve">作者:
</t>
        </r>
        <r>
          <rPr>
            <sz val="9"/>
            <rFont val="宋体"/>
            <charset val="134"/>
          </rPr>
          <t>请在下拉列表中选择填写内容！</t>
        </r>
      </text>
    </comment>
    <comment ref="J76" authorId="0">
      <text>
        <r>
          <rPr>
            <b/>
            <sz val="9"/>
            <rFont val="宋体"/>
            <charset val="134"/>
          </rPr>
          <t>作者:
直接填写数字！</t>
        </r>
        <r>
          <rPr>
            <sz val="9"/>
            <rFont val="宋体"/>
            <charset val="134"/>
          </rPr>
          <t>属“独立完成”不填写本栏目。</t>
        </r>
      </text>
    </comment>
    <comment ref="K76" authorId="0">
      <text>
        <r>
          <rPr>
            <b/>
            <sz val="9"/>
            <rFont val="宋体"/>
            <charset val="134"/>
          </rPr>
          <t>作者:
直接填写数字！</t>
        </r>
        <r>
          <rPr>
            <sz val="9"/>
            <rFont val="宋体"/>
            <charset val="134"/>
          </rPr>
          <t>属“独立完成”不填写本栏目。</t>
        </r>
      </text>
    </comment>
    <comment ref="B77" authorId="0">
      <text>
        <r>
          <rPr>
            <b/>
            <sz val="9"/>
            <rFont val="宋体"/>
            <charset val="134"/>
          </rPr>
          <t>作者:</t>
        </r>
        <r>
          <rPr>
            <sz val="9"/>
            <rFont val="宋体"/>
            <charset val="134"/>
          </rPr>
          <t xml:space="preserve">
请在下拉列表中选择填写内容！“示范专业”请选择“品牌专业”。</t>
        </r>
      </text>
    </comment>
    <comment ref="C77" authorId="2">
      <text>
        <r>
          <rPr>
            <b/>
            <sz val="9"/>
            <rFont val="宋体"/>
            <charset val="134"/>
          </rPr>
          <t>Admin:</t>
        </r>
        <r>
          <rPr>
            <sz val="9"/>
            <rFont val="宋体"/>
            <charset val="134"/>
          </rPr>
          <t xml:space="preserve">
请在下拉列表中选择填写内容！
</t>
        </r>
      </text>
    </comment>
    <comment ref="E77" authorId="0">
      <text>
        <r>
          <rPr>
            <b/>
            <sz val="9"/>
            <rFont val="宋体"/>
            <charset val="134"/>
          </rPr>
          <t>作者:</t>
        </r>
        <r>
          <rPr>
            <sz val="9"/>
            <rFont val="宋体"/>
            <charset val="134"/>
          </rPr>
          <t xml:space="preserve">
请在下拉列表中选择填写内容！</t>
        </r>
      </text>
    </comment>
    <comment ref="I77" authorId="3">
      <text>
        <r>
          <rPr>
            <b/>
            <sz val="9"/>
            <rFont val="宋体"/>
            <charset val="134"/>
          </rPr>
          <t xml:space="preserve">作者:
</t>
        </r>
        <r>
          <rPr>
            <sz val="9"/>
            <rFont val="宋体"/>
            <charset val="134"/>
          </rPr>
          <t>请在下拉列表中选择填写内容！</t>
        </r>
      </text>
    </comment>
    <comment ref="J77" authorId="0">
      <text>
        <r>
          <rPr>
            <b/>
            <sz val="9"/>
            <rFont val="宋体"/>
            <charset val="134"/>
          </rPr>
          <t>作者:
直接填写数字！</t>
        </r>
        <r>
          <rPr>
            <sz val="9"/>
            <rFont val="宋体"/>
            <charset val="134"/>
          </rPr>
          <t>属“独立完成”不填写本栏目。</t>
        </r>
      </text>
    </comment>
    <comment ref="K77" authorId="0">
      <text>
        <r>
          <rPr>
            <b/>
            <sz val="9"/>
            <rFont val="宋体"/>
            <charset val="134"/>
          </rPr>
          <t>作者:
直接填写数字！</t>
        </r>
        <r>
          <rPr>
            <sz val="9"/>
            <rFont val="宋体"/>
            <charset val="134"/>
          </rPr>
          <t>属“独立完成”不填写本栏目。</t>
        </r>
      </text>
    </comment>
    <comment ref="B81" authorId="2">
      <text>
        <r>
          <rPr>
            <b/>
            <sz val="9"/>
            <rFont val="宋体"/>
            <charset val="134"/>
          </rPr>
          <t>Admin:</t>
        </r>
        <r>
          <rPr>
            <sz val="9"/>
            <rFont val="宋体"/>
            <charset val="134"/>
          </rPr>
          <t xml:space="preserve">
请在下拉列表中选择填写内容！
</t>
        </r>
      </text>
    </comment>
    <comment ref="C81" authorId="0">
      <text>
        <r>
          <rPr>
            <b/>
            <sz val="9"/>
            <rFont val="宋体"/>
            <charset val="134"/>
          </rPr>
          <t>作者:</t>
        </r>
        <r>
          <rPr>
            <sz val="9"/>
            <rFont val="宋体"/>
            <charset val="134"/>
          </rPr>
          <t xml:space="preserve">
请在下拉列表中选择填写内容！</t>
        </r>
      </text>
    </comment>
    <comment ref="H81" authorId="1">
      <text>
        <r>
          <rPr>
            <b/>
            <sz val="9"/>
            <rFont val="宋体"/>
            <charset val="134"/>
          </rPr>
          <t>admin:</t>
        </r>
        <r>
          <rPr>
            <sz val="9"/>
            <rFont val="宋体"/>
            <charset val="134"/>
          </rPr>
          <t xml:space="preserve">
请规范填写时间！格式为“1999年10月”
</t>
        </r>
      </text>
    </comment>
    <comment ref="I81" authorId="3">
      <text>
        <r>
          <rPr>
            <b/>
            <sz val="9"/>
            <rFont val="宋体"/>
            <charset val="134"/>
          </rPr>
          <t xml:space="preserve">作者:
</t>
        </r>
        <r>
          <rPr>
            <sz val="9"/>
            <rFont val="宋体"/>
            <charset val="134"/>
          </rPr>
          <t>请在下拉列表中选择填写内容！</t>
        </r>
      </text>
    </comment>
    <comment ref="J81" authorId="0">
      <text>
        <r>
          <rPr>
            <b/>
            <sz val="9"/>
            <rFont val="宋体"/>
            <charset val="134"/>
          </rPr>
          <t>作者:
直接填写数字！</t>
        </r>
        <r>
          <rPr>
            <sz val="9"/>
            <rFont val="宋体"/>
            <charset val="134"/>
          </rPr>
          <t>属“独立完成”不填写本栏目。</t>
        </r>
      </text>
    </comment>
    <comment ref="K81" authorId="0">
      <text>
        <r>
          <rPr>
            <b/>
            <sz val="9"/>
            <rFont val="宋体"/>
            <charset val="134"/>
          </rPr>
          <t>作者:
直接填写数字！</t>
        </r>
        <r>
          <rPr>
            <sz val="9"/>
            <rFont val="宋体"/>
            <charset val="134"/>
          </rPr>
          <t>属“独立完成”不填写本栏目。</t>
        </r>
      </text>
    </comment>
    <comment ref="B84" authorId="2">
      <text>
        <r>
          <rPr>
            <b/>
            <sz val="9"/>
            <rFont val="宋体"/>
            <charset val="134"/>
          </rPr>
          <t>Admin:</t>
        </r>
        <r>
          <rPr>
            <sz val="9"/>
            <rFont val="宋体"/>
            <charset val="134"/>
          </rPr>
          <t xml:space="preserve">
请在下拉列表中选择填写内容！
</t>
        </r>
      </text>
    </comment>
    <comment ref="C84" authorId="0">
      <text>
        <r>
          <rPr>
            <b/>
            <sz val="9"/>
            <rFont val="宋体"/>
            <charset val="134"/>
          </rPr>
          <t>作者:</t>
        </r>
        <r>
          <rPr>
            <sz val="9"/>
            <rFont val="宋体"/>
            <charset val="134"/>
          </rPr>
          <t xml:space="preserve">
请在下拉列表中选择填写内容！</t>
        </r>
      </text>
    </comment>
    <comment ref="I84" authorId="3">
      <text>
        <r>
          <rPr>
            <b/>
            <sz val="9"/>
            <rFont val="宋体"/>
            <charset val="134"/>
          </rPr>
          <t xml:space="preserve">作者:
</t>
        </r>
        <r>
          <rPr>
            <sz val="9"/>
            <rFont val="宋体"/>
            <charset val="134"/>
          </rPr>
          <t>请在下拉列表中选择填写内容！</t>
        </r>
      </text>
    </comment>
    <comment ref="J84" authorId="0">
      <text>
        <r>
          <rPr>
            <b/>
            <sz val="9"/>
            <rFont val="宋体"/>
            <charset val="134"/>
          </rPr>
          <t>作者:
直接填写数字！</t>
        </r>
        <r>
          <rPr>
            <sz val="9"/>
            <rFont val="宋体"/>
            <charset val="134"/>
          </rPr>
          <t>属“独立完成”不填写本栏目。</t>
        </r>
      </text>
    </comment>
    <comment ref="K84" authorId="0">
      <text>
        <r>
          <rPr>
            <b/>
            <sz val="9"/>
            <rFont val="宋体"/>
            <charset val="134"/>
          </rPr>
          <t>作者:
直接填写数字！</t>
        </r>
        <r>
          <rPr>
            <sz val="9"/>
            <rFont val="宋体"/>
            <charset val="134"/>
          </rPr>
          <t>属“独立完成”不填写本栏目。</t>
        </r>
      </text>
    </comment>
    <comment ref="B89" authorId="0">
      <text>
        <r>
          <rPr>
            <b/>
            <sz val="9"/>
            <rFont val="宋体"/>
            <charset val="134"/>
          </rPr>
          <t>作者:</t>
        </r>
        <r>
          <rPr>
            <sz val="9"/>
            <rFont val="宋体"/>
            <charset val="134"/>
          </rPr>
          <t xml:space="preserve">
请在下拉列表中选择填写内容！</t>
        </r>
      </text>
    </comment>
    <comment ref="G89" authorId="1">
      <text>
        <r>
          <rPr>
            <b/>
            <sz val="9"/>
            <rFont val="宋体"/>
            <charset val="134"/>
          </rPr>
          <t>admin:</t>
        </r>
        <r>
          <rPr>
            <sz val="9"/>
            <rFont val="宋体"/>
            <charset val="134"/>
          </rPr>
          <t xml:space="preserve">
请在下拉列表中选择填写内容！
</t>
        </r>
      </text>
    </comment>
    <comment ref="B97" authorId="0">
      <text>
        <r>
          <rPr>
            <b/>
            <sz val="9"/>
            <rFont val="宋体"/>
            <charset val="134"/>
          </rPr>
          <t>作者:</t>
        </r>
        <r>
          <rPr>
            <sz val="9"/>
            <rFont val="宋体"/>
            <charset val="134"/>
          </rPr>
          <t xml:space="preserve">
请在下拉列表中选择填写内容！</t>
        </r>
      </text>
    </comment>
    <comment ref="I97" authorId="1">
      <text>
        <r>
          <rPr>
            <b/>
            <sz val="9"/>
            <rFont val="宋体"/>
            <charset val="134"/>
          </rPr>
          <t>admin:</t>
        </r>
        <r>
          <rPr>
            <sz val="9"/>
            <rFont val="宋体"/>
            <charset val="134"/>
          </rPr>
          <t xml:space="preserve">
请在下拉列表中选择填写内容</t>
        </r>
      </text>
    </comment>
    <comment ref="B99" authorId="0">
      <text>
        <r>
          <rPr>
            <b/>
            <sz val="9"/>
            <rFont val="宋体"/>
            <charset val="134"/>
          </rPr>
          <t>作者:</t>
        </r>
        <r>
          <rPr>
            <sz val="9"/>
            <rFont val="宋体"/>
            <charset val="134"/>
          </rPr>
          <t xml:space="preserve">
请在下拉列表中选择填写内容！</t>
        </r>
      </text>
    </comment>
    <comment ref="C99" authorId="0">
      <text>
        <r>
          <rPr>
            <b/>
            <sz val="9"/>
            <rFont val="宋体"/>
            <charset val="134"/>
          </rPr>
          <t>作者:</t>
        </r>
        <r>
          <rPr>
            <sz val="9"/>
            <rFont val="宋体"/>
            <charset val="134"/>
          </rPr>
          <t xml:space="preserve">
请在下拉列表中选择填写内容！</t>
        </r>
      </text>
    </comment>
    <comment ref="B104" authorId="0">
      <text>
        <r>
          <rPr>
            <b/>
            <sz val="9"/>
            <rFont val="宋体"/>
            <charset val="134"/>
          </rPr>
          <t>作者:</t>
        </r>
        <r>
          <rPr>
            <sz val="9"/>
            <rFont val="宋体"/>
            <charset val="134"/>
          </rPr>
          <t xml:space="preserve">
请在下拉列表中选择填写内容！</t>
        </r>
      </text>
    </comment>
    <comment ref="F104" authorId="4">
      <text>
        <r>
          <rPr>
            <b/>
            <sz val="9"/>
            <rFont val="宋体"/>
            <charset val="134"/>
          </rPr>
          <t xml:space="preserve">作者:
</t>
        </r>
        <r>
          <rPr>
            <sz val="9"/>
            <rFont val="宋体"/>
            <charset val="134"/>
          </rPr>
          <t>请不要加书名号！</t>
        </r>
      </text>
    </comment>
    <comment ref="H104"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104" authorId="3">
      <text>
        <r>
          <rPr>
            <b/>
            <sz val="9"/>
            <rFont val="宋体"/>
            <charset val="134"/>
          </rPr>
          <t xml:space="preserve">作者:
</t>
        </r>
        <r>
          <rPr>
            <sz val="9"/>
            <rFont val="宋体"/>
            <charset val="134"/>
          </rPr>
          <t>请在下拉列表中选择填写内容！</t>
        </r>
      </text>
    </comment>
    <comment ref="J104" authorId="4">
      <text>
        <r>
          <rPr>
            <b/>
            <sz val="9"/>
            <rFont val="宋体"/>
            <charset val="134"/>
          </rPr>
          <t>作者:
直接填写数字！</t>
        </r>
        <r>
          <rPr>
            <sz val="9"/>
            <rFont val="宋体"/>
            <charset val="134"/>
          </rPr>
          <t>属“独立完成”不填写本栏目。</t>
        </r>
      </text>
    </comment>
    <comment ref="K104" authorId="0">
      <text>
        <r>
          <rPr>
            <b/>
            <sz val="9"/>
            <rFont val="宋体"/>
            <charset val="134"/>
          </rPr>
          <t>作者:
直接填写数字！</t>
        </r>
        <r>
          <rPr>
            <sz val="9"/>
            <rFont val="宋体"/>
            <charset val="134"/>
          </rPr>
          <t>属“独立完成”不填写本栏目。</t>
        </r>
      </text>
    </comment>
    <comment ref="B106" authorId="0">
      <text>
        <r>
          <rPr>
            <b/>
            <sz val="9"/>
            <rFont val="宋体"/>
            <charset val="134"/>
          </rPr>
          <t>作者:</t>
        </r>
        <r>
          <rPr>
            <sz val="9"/>
            <rFont val="宋体"/>
            <charset val="134"/>
          </rPr>
          <t xml:space="preserve">
请在下拉列表中选择填写内容！</t>
        </r>
      </text>
    </comment>
    <comment ref="F106" authorId="4">
      <text>
        <r>
          <rPr>
            <b/>
            <sz val="9"/>
            <rFont val="宋体"/>
            <charset val="134"/>
          </rPr>
          <t xml:space="preserve">作者:
</t>
        </r>
        <r>
          <rPr>
            <sz val="9"/>
            <rFont val="宋体"/>
            <charset val="134"/>
          </rPr>
          <t>请不要加书名号！</t>
        </r>
      </text>
    </comment>
    <comment ref="H106"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106" authorId="3">
      <text>
        <r>
          <rPr>
            <b/>
            <sz val="9"/>
            <rFont val="宋体"/>
            <charset val="134"/>
          </rPr>
          <t xml:space="preserve">作者:
</t>
        </r>
        <r>
          <rPr>
            <sz val="9"/>
            <rFont val="宋体"/>
            <charset val="134"/>
          </rPr>
          <t>请在下拉列表中选择填写内容！</t>
        </r>
      </text>
    </comment>
    <comment ref="J106" authorId="4">
      <text>
        <r>
          <rPr>
            <b/>
            <sz val="9"/>
            <rFont val="宋体"/>
            <charset val="134"/>
          </rPr>
          <t>作者:
直接填写数字！</t>
        </r>
        <r>
          <rPr>
            <sz val="9"/>
            <rFont val="宋体"/>
            <charset val="134"/>
          </rPr>
          <t>属“独立完成”不填写本栏目。</t>
        </r>
      </text>
    </comment>
    <comment ref="K106" authorId="0">
      <text>
        <r>
          <rPr>
            <b/>
            <sz val="9"/>
            <rFont val="宋体"/>
            <charset val="134"/>
          </rPr>
          <t>作者:
直接填写数字！</t>
        </r>
        <r>
          <rPr>
            <sz val="9"/>
            <rFont val="宋体"/>
            <charset val="134"/>
          </rPr>
          <t>属“独立完成”不填写本栏目。</t>
        </r>
      </text>
    </comment>
    <comment ref="B110" authorId="0">
      <text>
        <r>
          <rPr>
            <b/>
            <sz val="9"/>
            <rFont val="宋体"/>
            <charset val="134"/>
          </rPr>
          <t>作者:</t>
        </r>
        <r>
          <rPr>
            <sz val="9"/>
            <rFont val="宋体"/>
            <charset val="134"/>
          </rPr>
          <t xml:space="preserve">
请在下拉列表中选择填写内容！</t>
        </r>
      </text>
    </comment>
    <comment ref="I110"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110" authorId="0">
      <text>
        <r>
          <rPr>
            <b/>
            <sz val="9"/>
            <rFont val="宋体"/>
            <charset val="134"/>
          </rPr>
          <t>作者:
只填写数字！请注意单位！</t>
        </r>
      </text>
    </comment>
    <comment ref="K110" authorId="0">
      <text>
        <r>
          <rPr>
            <b/>
            <sz val="9"/>
            <rFont val="宋体"/>
            <charset val="134"/>
          </rPr>
          <t xml:space="preserve">作者:
</t>
        </r>
        <r>
          <rPr>
            <sz val="9"/>
            <rFont val="宋体"/>
            <charset val="134"/>
          </rPr>
          <t>请在下拉列表中选择填写内容！</t>
        </r>
      </text>
    </comment>
    <comment ref="B111" authorId="0">
      <text>
        <r>
          <rPr>
            <b/>
            <sz val="9"/>
            <rFont val="宋体"/>
            <charset val="134"/>
          </rPr>
          <t>作者:</t>
        </r>
        <r>
          <rPr>
            <sz val="9"/>
            <rFont val="宋体"/>
            <charset val="134"/>
          </rPr>
          <t xml:space="preserve">
请在下拉列表中选择填写内容！</t>
        </r>
      </text>
    </comment>
    <comment ref="I111"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111" authorId="0">
      <text>
        <r>
          <rPr>
            <b/>
            <sz val="9"/>
            <rFont val="宋体"/>
            <charset val="134"/>
          </rPr>
          <t>作者:
只填写数字！请注意单位！</t>
        </r>
      </text>
    </comment>
    <comment ref="K111" authorId="0">
      <text>
        <r>
          <rPr>
            <b/>
            <sz val="9"/>
            <rFont val="宋体"/>
            <charset val="134"/>
          </rPr>
          <t xml:space="preserve">作者:
</t>
        </r>
        <r>
          <rPr>
            <sz val="9"/>
            <rFont val="宋体"/>
            <charset val="134"/>
          </rPr>
          <t>请在下拉列表中选择填写内容！</t>
        </r>
      </text>
    </comment>
    <comment ref="B115" authorId="0">
      <text>
        <r>
          <rPr>
            <b/>
            <sz val="9"/>
            <rFont val="宋体"/>
            <charset val="134"/>
          </rPr>
          <t>作者:</t>
        </r>
        <r>
          <rPr>
            <sz val="9"/>
            <rFont val="宋体"/>
            <charset val="134"/>
          </rPr>
          <t xml:space="preserve">
请在下拉列表中选择填写内容！</t>
        </r>
      </text>
    </comment>
    <comment ref="G115" authorId="0">
      <text>
        <r>
          <rPr>
            <b/>
            <sz val="9"/>
            <rFont val="宋体"/>
            <charset val="134"/>
          </rPr>
          <t>作者:</t>
        </r>
        <r>
          <rPr>
            <sz val="9"/>
            <rFont val="宋体"/>
            <charset val="134"/>
          </rPr>
          <t xml:space="preserve">
如：“辽宁省人民政府”,“辽宁省教育厅”,“教育部”等。</t>
        </r>
      </text>
    </comment>
    <comment ref="H115" authorId="3">
      <text>
        <r>
          <rPr>
            <b/>
            <sz val="9"/>
            <rFont val="宋体"/>
            <charset val="134"/>
          </rPr>
          <t xml:space="preserve">作者:
</t>
        </r>
        <r>
          <rPr>
            <sz val="9"/>
            <rFont val="宋体"/>
            <charset val="134"/>
          </rPr>
          <t>请在下拉列表中选择填写内容！</t>
        </r>
      </text>
    </comment>
    <comment ref="I115" authorId="4">
      <text>
        <r>
          <rPr>
            <b/>
            <sz val="9"/>
            <rFont val="宋体"/>
            <charset val="134"/>
          </rPr>
          <t>作者:
直接填写数字！</t>
        </r>
        <r>
          <rPr>
            <sz val="9"/>
            <rFont val="宋体"/>
            <charset val="134"/>
          </rPr>
          <t>属“独立完成”不填写本栏目。</t>
        </r>
      </text>
    </comment>
    <comment ref="J115" authorId="0">
      <text>
        <r>
          <rPr>
            <b/>
            <sz val="9"/>
            <rFont val="宋体"/>
            <charset val="134"/>
          </rPr>
          <t>作者:
直接填写数字！</t>
        </r>
        <r>
          <rPr>
            <sz val="9"/>
            <rFont val="宋体"/>
            <charset val="134"/>
          </rPr>
          <t>属“独立完成”不填写本栏目。</t>
        </r>
      </text>
    </comment>
    <comment ref="K115" authorId="0">
      <text>
        <r>
          <rPr>
            <b/>
            <sz val="9"/>
            <rFont val="宋体"/>
            <charset val="134"/>
          </rPr>
          <t>作者:
只填写数字！请注意单位！</t>
        </r>
      </text>
    </comment>
    <comment ref="B116" authorId="0">
      <text>
        <r>
          <rPr>
            <b/>
            <sz val="9"/>
            <rFont val="宋体"/>
            <charset val="134"/>
          </rPr>
          <t>作者:</t>
        </r>
        <r>
          <rPr>
            <sz val="9"/>
            <rFont val="宋体"/>
            <charset val="134"/>
          </rPr>
          <t xml:space="preserve">
请在下拉列表中选择填写内容！</t>
        </r>
      </text>
    </comment>
    <comment ref="G116" authorId="0">
      <text>
        <r>
          <rPr>
            <b/>
            <sz val="9"/>
            <rFont val="宋体"/>
            <charset val="134"/>
          </rPr>
          <t>作者:</t>
        </r>
        <r>
          <rPr>
            <sz val="9"/>
            <rFont val="宋体"/>
            <charset val="134"/>
          </rPr>
          <t xml:space="preserve">
如：“辽宁省人民政府”,“辽宁省教育厅”,“教育部”等。</t>
        </r>
      </text>
    </comment>
    <comment ref="H116" authorId="3">
      <text>
        <r>
          <rPr>
            <b/>
            <sz val="9"/>
            <rFont val="宋体"/>
            <charset val="134"/>
          </rPr>
          <t xml:space="preserve">作者:
</t>
        </r>
        <r>
          <rPr>
            <sz val="9"/>
            <rFont val="宋体"/>
            <charset val="134"/>
          </rPr>
          <t>请在下拉列表中选择填写内容！</t>
        </r>
      </text>
    </comment>
    <comment ref="I116" authorId="4">
      <text>
        <r>
          <rPr>
            <b/>
            <sz val="9"/>
            <rFont val="宋体"/>
            <charset val="134"/>
          </rPr>
          <t>作者:
直接填写数字！</t>
        </r>
        <r>
          <rPr>
            <sz val="9"/>
            <rFont val="宋体"/>
            <charset val="134"/>
          </rPr>
          <t>属“独立完成”不填写本栏目。</t>
        </r>
      </text>
    </comment>
    <comment ref="J116" authorId="0">
      <text>
        <r>
          <rPr>
            <b/>
            <sz val="9"/>
            <rFont val="宋体"/>
            <charset val="134"/>
          </rPr>
          <t>作者:
直接填写数字！</t>
        </r>
        <r>
          <rPr>
            <sz val="9"/>
            <rFont val="宋体"/>
            <charset val="134"/>
          </rPr>
          <t>属“独立完成”不填写本栏目。</t>
        </r>
      </text>
    </comment>
    <comment ref="K116" authorId="0">
      <text>
        <r>
          <rPr>
            <b/>
            <sz val="9"/>
            <rFont val="宋体"/>
            <charset val="134"/>
          </rPr>
          <t>作者:
只填写数字！请注意单位！</t>
        </r>
      </text>
    </comment>
    <comment ref="B118" authorId="0">
      <text>
        <r>
          <rPr>
            <b/>
            <sz val="9"/>
            <rFont val="宋体"/>
            <charset val="134"/>
          </rPr>
          <t>作者:</t>
        </r>
        <r>
          <rPr>
            <sz val="9"/>
            <rFont val="宋体"/>
            <charset val="134"/>
          </rPr>
          <t xml:space="preserve">
请在下拉列表中选择填写内容！</t>
        </r>
      </text>
    </comment>
    <comment ref="G118" authorId="0">
      <text>
        <r>
          <rPr>
            <b/>
            <sz val="9"/>
            <rFont val="宋体"/>
            <charset val="134"/>
          </rPr>
          <t>作者:</t>
        </r>
        <r>
          <rPr>
            <sz val="9"/>
            <rFont val="宋体"/>
            <charset val="134"/>
          </rPr>
          <t xml:space="preserve">
如：“辽宁省人民政府”,“辽宁省教育厅”,“教育部”等。</t>
        </r>
      </text>
    </comment>
    <comment ref="H118" authorId="3">
      <text>
        <r>
          <rPr>
            <b/>
            <sz val="9"/>
            <rFont val="宋体"/>
            <charset val="134"/>
          </rPr>
          <t xml:space="preserve">作者:
</t>
        </r>
        <r>
          <rPr>
            <sz val="9"/>
            <rFont val="宋体"/>
            <charset val="134"/>
          </rPr>
          <t>请在下拉列表中选择填写内容！</t>
        </r>
      </text>
    </comment>
    <comment ref="I118" authorId="4">
      <text>
        <r>
          <rPr>
            <b/>
            <sz val="9"/>
            <rFont val="宋体"/>
            <charset val="134"/>
          </rPr>
          <t>作者:
直接填写数字！</t>
        </r>
        <r>
          <rPr>
            <sz val="9"/>
            <rFont val="宋体"/>
            <charset val="134"/>
          </rPr>
          <t>属“独立完成”不填写本栏目。</t>
        </r>
      </text>
    </comment>
    <comment ref="J118" authorId="0">
      <text>
        <r>
          <rPr>
            <b/>
            <sz val="9"/>
            <rFont val="宋体"/>
            <charset val="134"/>
          </rPr>
          <t>作者:
直接填写数字！</t>
        </r>
        <r>
          <rPr>
            <sz val="9"/>
            <rFont val="宋体"/>
            <charset val="134"/>
          </rPr>
          <t>属“独立完成”不填写本栏目。</t>
        </r>
      </text>
    </comment>
    <comment ref="K118" authorId="0">
      <text>
        <r>
          <rPr>
            <b/>
            <sz val="9"/>
            <rFont val="宋体"/>
            <charset val="134"/>
          </rPr>
          <t>作者:
只填写数字！请注意单位！</t>
        </r>
      </text>
    </comment>
    <comment ref="B122" authorId="0">
      <text>
        <r>
          <rPr>
            <b/>
            <sz val="9"/>
            <rFont val="宋体"/>
            <charset val="134"/>
          </rPr>
          <t>作者:</t>
        </r>
        <r>
          <rPr>
            <sz val="9"/>
            <rFont val="宋体"/>
            <charset val="134"/>
          </rPr>
          <t xml:space="preserve">
请在下拉列表中选择填写内容！</t>
        </r>
      </text>
    </comment>
    <comment ref="H122" authorId="3">
      <text>
        <r>
          <rPr>
            <b/>
            <sz val="9"/>
            <rFont val="宋体"/>
            <charset val="134"/>
          </rPr>
          <t xml:space="preserve">作者:
</t>
        </r>
        <r>
          <rPr>
            <sz val="9"/>
            <rFont val="宋体"/>
            <charset val="134"/>
          </rPr>
          <t>请在下拉列表中选择填写内容！</t>
        </r>
      </text>
    </comment>
    <comment ref="I122" authorId="4">
      <text>
        <r>
          <rPr>
            <b/>
            <sz val="9"/>
            <rFont val="宋体"/>
            <charset val="134"/>
          </rPr>
          <t>作者:
直接填写数字！</t>
        </r>
        <r>
          <rPr>
            <sz val="9"/>
            <rFont val="宋体"/>
            <charset val="134"/>
          </rPr>
          <t>属“独立完成”不填写本栏目。</t>
        </r>
      </text>
    </comment>
    <comment ref="J122" authorId="0">
      <text>
        <r>
          <rPr>
            <b/>
            <sz val="9"/>
            <rFont val="宋体"/>
            <charset val="134"/>
          </rPr>
          <t>作者:
直接填写数字！</t>
        </r>
        <r>
          <rPr>
            <sz val="9"/>
            <rFont val="宋体"/>
            <charset val="134"/>
          </rPr>
          <t>属“独立完成”不填写本栏目。</t>
        </r>
      </text>
    </comment>
    <comment ref="K122" authorId="0">
      <text>
        <r>
          <rPr>
            <b/>
            <sz val="9"/>
            <rFont val="宋体"/>
            <charset val="134"/>
          </rPr>
          <t>作者:
只填写数字！请注意单位！</t>
        </r>
      </text>
    </comment>
    <comment ref="B127" authorId="0">
      <text>
        <r>
          <rPr>
            <b/>
            <sz val="9"/>
            <rFont val="宋体"/>
            <charset val="134"/>
          </rPr>
          <t>作者:</t>
        </r>
        <r>
          <rPr>
            <sz val="9"/>
            <rFont val="宋体"/>
            <charset val="134"/>
          </rPr>
          <t xml:space="preserve">
请在下拉列表中选择填写内容！</t>
        </r>
      </text>
    </comment>
    <comment ref="C127" authorId="0">
      <text>
        <r>
          <rPr>
            <b/>
            <sz val="9"/>
            <rFont val="宋体"/>
            <charset val="134"/>
          </rPr>
          <t>作者:</t>
        </r>
        <r>
          <rPr>
            <sz val="9"/>
            <rFont val="宋体"/>
            <charset val="134"/>
          </rPr>
          <t xml:space="preserve">
请在下拉列表中选择填写内容！</t>
        </r>
      </text>
    </comment>
    <comment ref="G127" authorId="1">
      <text>
        <r>
          <rPr>
            <b/>
            <sz val="9"/>
            <rFont val="宋体"/>
            <charset val="134"/>
          </rPr>
          <t>admin:</t>
        </r>
        <r>
          <rPr>
            <sz val="9"/>
            <rFont val="宋体"/>
            <charset val="134"/>
          </rPr>
          <t xml:space="preserve">
作者:
如：“辽宁省人民政府”,“辽宁省教育厅”,“教育部”等。
</t>
        </r>
      </text>
    </comment>
    <comment ref="I127" authorId="3">
      <text>
        <r>
          <rPr>
            <b/>
            <sz val="9"/>
            <rFont val="宋体"/>
            <charset val="134"/>
          </rPr>
          <t xml:space="preserve">作者:
</t>
        </r>
        <r>
          <rPr>
            <sz val="9"/>
            <rFont val="宋体"/>
            <charset val="134"/>
          </rPr>
          <t>请在下拉列表中选择填写内容！</t>
        </r>
      </text>
    </comment>
    <comment ref="J127" authorId="4">
      <text>
        <r>
          <rPr>
            <b/>
            <sz val="9"/>
            <rFont val="宋体"/>
            <charset val="134"/>
          </rPr>
          <t>作者:
直接填写数字！</t>
        </r>
        <r>
          <rPr>
            <sz val="9"/>
            <rFont val="宋体"/>
            <charset val="134"/>
          </rPr>
          <t>属“独立完成”不填写本栏目。</t>
        </r>
      </text>
    </comment>
    <comment ref="K127" authorId="0">
      <text>
        <r>
          <rPr>
            <b/>
            <sz val="9"/>
            <rFont val="宋体"/>
            <charset val="134"/>
          </rPr>
          <t>作者:
直接填写数字！</t>
        </r>
        <r>
          <rPr>
            <sz val="9"/>
            <rFont val="宋体"/>
            <charset val="134"/>
          </rPr>
          <t>属“独立完成”不填写本栏目。</t>
        </r>
      </text>
    </comment>
    <comment ref="B128" authorId="0">
      <text>
        <r>
          <rPr>
            <b/>
            <sz val="9"/>
            <rFont val="宋体"/>
            <charset val="134"/>
          </rPr>
          <t>作者:</t>
        </r>
        <r>
          <rPr>
            <sz val="9"/>
            <rFont val="宋体"/>
            <charset val="134"/>
          </rPr>
          <t xml:space="preserve">
请在下拉列表中选择填写内容！</t>
        </r>
      </text>
    </comment>
    <comment ref="C128" authorId="0">
      <text>
        <r>
          <rPr>
            <b/>
            <sz val="9"/>
            <rFont val="宋体"/>
            <charset val="134"/>
          </rPr>
          <t>作者:</t>
        </r>
        <r>
          <rPr>
            <sz val="9"/>
            <rFont val="宋体"/>
            <charset val="134"/>
          </rPr>
          <t xml:space="preserve">
请在下拉列表中选择填写内容！</t>
        </r>
      </text>
    </comment>
    <comment ref="G128" authorId="1">
      <text>
        <r>
          <rPr>
            <b/>
            <sz val="9"/>
            <rFont val="宋体"/>
            <charset val="134"/>
          </rPr>
          <t>admin:</t>
        </r>
        <r>
          <rPr>
            <sz val="9"/>
            <rFont val="宋体"/>
            <charset val="134"/>
          </rPr>
          <t xml:space="preserve">
作者:
如：“辽宁省人民政府”,“辽宁省教育厅”,“教育部”等。</t>
        </r>
      </text>
    </comment>
    <comment ref="I128" authorId="3">
      <text>
        <r>
          <rPr>
            <b/>
            <sz val="9"/>
            <rFont val="宋体"/>
            <charset val="134"/>
          </rPr>
          <t xml:space="preserve">作者:
</t>
        </r>
        <r>
          <rPr>
            <sz val="9"/>
            <rFont val="宋体"/>
            <charset val="134"/>
          </rPr>
          <t>请在下拉列表中选择填写内容！</t>
        </r>
      </text>
    </comment>
    <comment ref="J128" authorId="4">
      <text>
        <r>
          <rPr>
            <b/>
            <sz val="9"/>
            <rFont val="宋体"/>
            <charset val="134"/>
          </rPr>
          <t>作者:
直接填写数字！</t>
        </r>
        <r>
          <rPr>
            <sz val="9"/>
            <rFont val="宋体"/>
            <charset val="134"/>
          </rPr>
          <t>属“独立完成”不填写本栏目。</t>
        </r>
      </text>
    </comment>
    <comment ref="K128" authorId="0">
      <text>
        <r>
          <rPr>
            <b/>
            <sz val="9"/>
            <rFont val="宋体"/>
            <charset val="134"/>
          </rPr>
          <t>作者:
直接填写数字！</t>
        </r>
        <r>
          <rPr>
            <sz val="9"/>
            <rFont val="宋体"/>
            <charset val="134"/>
          </rPr>
          <t>属“独立完成”不填写本栏目。</t>
        </r>
      </text>
    </comment>
    <comment ref="B132" authorId="0">
      <text>
        <r>
          <rPr>
            <b/>
            <sz val="9"/>
            <rFont val="宋体"/>
            <charset val="134"/>
          </rPr>
          <t>作者:</t>
        </r>
        <r>
          <rPr>
            <sz val="9"/>
            <rFont val="宋体"/>
            <charset val="134"/>
          </rPr>
          <t xml:space="preserve">
请在下拉列表中选择填写内容！</t>
        </r>
      </text>
    </comment>
    <comment ref="C132" authorId="2">
      <text>
        <r>
          <rPr>
            <b/>
            <sz val="9"/>
            <rFont val="宋体"/>
            <charset val="134"/>
          </rPr>
          <t>Admin:</t>
        </r>
        <r>
          <rPr>
            <sz val="9"/>
            <rFont val="宋体"/>
            <charset val="134"/>
          </rPr>
          <t xml:space="preserve">
请在下拉列表中选择填写内容！
</t>
        </r>
      </text>
    </comment>
    <comment ref="J132" authorId="0">
      <text>
        <r>
          <rPr>
            <b/>
            <sz val="9"/>
            <rFont val="宋体"/>
            <charset val="134"/>
          </rPr>
          <t>作者:
直接填写数字！</t>
        </r>
        <r>
          <rPr>
            <sz val="9"/>
            <rFont val="宋体"/>
            <charset val="134"/>
          </rPr>
          <t>属“独立完成”不填写本栏目。</t>
        </r>
      </text>
    </comment>
    <comment ref="K132" authorId="0">
      <text>
        <r>
          <rPr>
            <b/>
            <sz val="9"/>
            <rFont val="宋体"/>
            <charset val="134"/>
          </rPr>
          <t>作者:
直接填写数字！</t>
        </r>
        <r>
          <rPr>
            <sz val="9"/>
            <rFont val="宋体"/>
            <charset val="134"/>
          </rPr>
          <t>属“独立完成”不填写本栏目。</t>
        </r>
      </text>
    </comment>
    <comment ref="B133" authorId="0">
      <text>
        <r>
          <rPr>
            <b/>
            <sz val="9"/>
            <rFont val="宋体"/>
            <charset val="134"/>
          </rPr>
          <t>作者:</t>
        </r>
        <r>
          <rPr>
            <sz val="9"/>
            <rFont val="宋体"/>
            <charset val="134"/>
          </rPr>
          <t xml:space="preserve">
请在下拉列表中选择填写内容！“示范专业”请选择“品牌专业”。</t>
        </r>
      </text>
    </comment>
    <comment ref="C133" authorId="2">
      <text>
        <r>
          <rPr>
            <b/>
            <sz val="9"/>
            <rFont val="宋体"/>
            <charset val="134"/>
          </rPr>
          <t>Admin:</t>
        </r>
        <r>
          <rPr>
            <sz val="9"/>
            <rFont val="宋体"/>
            <charset val="134"/>
          </rPr>
          <t xml:space="preserve">
请在下拉列表中选择填写内容！
</t>
        </r>
      </text>
    </comment>
    <comment ref="I133" authorId="3">
      <text>
        <r>
          <rPr>
            <b/>
            <sz val="9"/>
            <rFont val="宋体"/>
            <charset val="134"/>
          </rPr>
          <t xml:space="preserve">作者:
</t>
        </r>
        <r>
          <rPr>
            <sz val="9"/>
            <rFont val="宋体"/>
            <charset val="134"/>
          </rPr>
          <t>请在下拉列表中选择填写内容！</t>
        </r>
      </text>
    </comment>
    <comment ref="J133" authorId="0">
      <text>
        <r>
          <rPr>
            <b/>
            <sz val="9"/>
            <rFont val="宋体"/>
            <charset val="134"/>
          </rPr>
          <t>作者:
直接填写数字！</t>
        </r>
        <r>
          <rPr>
            <sz val="9"/>
            <rFont val="宋体"/>
            <charset val="134"/>
          </rPr>
          <t>属“独立完成”不填写本栏目。</t>
        </r>
      </text>
    </comment>
    <comment ref="K133" authorId="0">
      <text>
        <r>
          <rPr>
            <b/>
            <sz val="9"/>
            <rFont val="宋体"/>
            <charset val="134"/>
          </rPr>
          <t>作者:
直接填写数字！</t>
        </r>
        <r>
          <rPr>
            <sz val="9"/>
            <rFont val="宋体"/>
            <charset val="134"/>
          </rPr>
          <t>属“独立完成”不填写本栏目。</t>
        </r>
      </text>
    </comment>
    <comment ref="B137" authorId="0">
      <text>
        <r>
          <rPr>
            <b/>
            <sz val="9"/>
            <rFont val="宋体"/>
            <charset val="134"/>
          </rPr>
          <t>作者:</t>
        </r>
        <r>
          <rPr>
            <sz val="9"/>
            <rFont val="宋体"/>
            <charset val="134"/>
          </rPr>
          <t xml:space="preserve">
请在下拉列表中选择填写内容！</t>
        </r>
      </text>
    </comment>
    <comment ref="C137" authorId="2">
      <text>
        <r>
          <rPr>
            <b/>
            <sz val="9"/>
            <rFont val="宋体"/>
            <charset val="134"/>
          </rPr>
          <t>Admin:</t>
        </r>
        <r>
          <rPr>
            <sz val="9"/>
            <rFont val="宋体"/>
            <charset val="134"/>
          </rPr>
          <t xml:space="preserve">
请在下拉列表中选择填写内容！
</t>
        </r>
      </text>
    </comment>
    <comment ref="E137" authorId="0">
      <text>
        <r>
          <rPr>
            <b/>
            <sz val="9"/>
            <rFont val="宋体"/>
            <charset val="134"/>
          </rPr>
          <t>作者:</t>
        </r>
        <r>
          <rPr>
            <sz val="9"/>
            <rFont val="宋体"/>
            <charset val="134"/>
          </rPr>
          <t xml:space="preserve">
请在下拉列表中选择填写内容！</t>
        </r>
      </text>
    </comment>
    <comment ref="I137" authorId="3">
      <text>
        <r>
          <rPr>
            <b/>
            <sz val="9"/>
            <rFont val="宋体"/>
            <charset val="134"/>
          </rPr>
          <t xml:space="preserve">作者:
</t>
        </r>
        <r>
          <rPr>
            <sz val="9"/>
            <rFont val="宋体"/>
            <charset val="134"/>
          </rPr>
          <t>请在下拉列表中选择填写内容！</t>
        </r>
      </text>
    </comment>
    <comment ref="J137" authorId="0">
      <text>
        <r>
          <rPr>
            <b/>
            <sz val="9"/>
            <rFont val="宋体"/>
            <charset val="134"/>
          </rPr>
          <t>作者:
直接填写数字！</t>
        </r>
        <r>
          <rPr>
            <sz val="9"/>
            <rFont val="宋体"/>
            <charset val="134"/>
          </rPr>
          <t>属“独立完成”不填写本栏目。</t>
        </r>
      </text>
    </comment>
    <comment ref="K137" authorId="0">
      <text>
        <r>
          <rPr>
            <b/>
            <sz val="9"/>
            <rFont val="宋体"/>
            <charset val="134"/>
          </rPr>
          <t>作者:
直接填写数字！</t>
        </r>
        <r>
          <rPr>
            <sz val="9"/>
            <rFont val="宋体"/>
            <charset val="134"/>
          </rPr>
          <t>属“独立完成”不填写本栏目。</t>
        </r>
      </text>
    </comment>
    <comment ref="B138" authorId="0">
      <text>
        <r>
          <rPr>
            <b/>
            <sz val="9"/>
            <rFont val="宋体"/>
            <charset val="134"/>
          </rPr>
          <t>作者:</t>
        </r>
        <r>
          <rPr>
            <sz val="9"/>
            <rFont val="宋体"/>
            <charset val="134"/>
          </rPr>
          <t xml:space="preserve">
请在下拉列表中选择填写内容！“示范专业”请选择“品牌专业”。</t>
        </r>
      </text>
    </comment>
    <comment ref="C138" authorId="2">
      <text>
        <r>
          <rPr>
            <b/>
            <sz val="9"/>
            <rFont val="宋体"/>
            <charset val="134"/>
          </rPr>
          <t>Admin:</t>
        </r>
        <r>
          <rPr>
            <sz val="9"/>
            <rFont val="宋体"/>
            <charset val="134"/>
          </rPr>
          <t xml:space="preserve">
请在下拉列表中选择填写内容！
</t>
        </r>
      </text>
    </comment>
    <comment ref="E138" authorId="0">
      <text>
        <r>
          <rPr>
            <b/>
            <sz val="9"/>
            <rFont val="宋体"/>
            <charset val="134"/>
          </rPr>
          <t>作者:</t>
        </r>
        <r>
          <rPr>
            <sz val="9"/>
            <rFont val="宋体"/>
            <charset val="134"/>
          </rPr>
          <t xml:space="preserve">
请在下拉列表中选择填写内容！</t>
        </r>
      </text>
    </comment>
    <comment ref="I138" authorId="3">
      <text>
        <r>
          <rPr>
            <b/>
            <sz val="9"/>
            <rFont val="宋体"/>
            <charset val="134"/>
          </rPr>
          <t xml:space="preserve">作者:
</t>
        </r>
        <r>
          <rPr>
            <sz val="9"/>
            <rFont val="宋体"/>
            <charset val="134"/>
          </rPr>
          <t>请在下拉列表中选择填写内容！</t>
        </r>
      </text>
    </comment>
    <comment ref="J138" authorId="0">
      <text>
        <r>
          <rPr>
            <b/>
            <sz val="9"/>
            <rFont val="宋体"/>
            <charset val="134"/>
          </rPr>
          <t>作者:
直接填写数字！</t>
        </r>
        <r>
          <rPr>
            <sz val="9"/>
            <rFont val="宋体"/>
            <charset val="134"/>
          </rPr>
          <t>属“独立完成”不填写本栏目。</t>
        </r>
      </text>
    </comment>
    <comment ref="K138" authorId="0">
      <text>
        <r>
          <rPr>
            <b/>
            <sz val="9"/>
            <rFont val="宋体"/>
            <charset val="134"/>
          </rPr>
          <t>作者:
直接填写数字！</t>
        </r>
        <r>
          <rPr>
            <sz val="9"/>
            <rFont val="宋体"/>
            <charset val="134"/>
          </rPr>
          <t>属“独立完成”不填写本栏目。</t>
        </r>
      </text>
    </comment>
    <comment ref="B142" authorId="0">
      <text>
        <r>
          <rPr>
            <b/>
            <sz val="9"/>
            <rFont val="宋体"/>
            <charset val="134"/>
          </rPr>
          <t>作者:</t>
        </r>
        <r>
          <rPr>
            <sz val="9"/>
            <rFont val="宋体"/>
            <charset val="134"/>
          </rPr>
          <t xml:space="preserve">
请在下拉列表中选择填写内容！</t>
        </r>
      </text>
    </comment>
    <comment ref="I142" authorId="3">
      <text>
        <r>
          <rPr>
            <b/>
            <sz val="9"/>
            <rFont val="宋体"/>
            <charset val="134"/>
          </rPr>
          <t xml:space="preserve">作者:
</t>
        </r>
        <r>
          <rPr>
            <sz val="9"/>
            <rFont val="宋体"/>
            <charset val="134"/>
          </rPr>
          <t>请在下拉列表中选择填写内容！</t>
        </r>
      </text>
    </comment>
    <comment ref="J142" authorId="4">
      <text>
        <r>
          <rPr>
            <b/>
            <sz val="9"/>
            <rFont val="宋体"/>
            <charset val="134"/>
          </rPr>
          <t>作者:
直接填写数字！</t>
        </r>
        <r>
          <rPr>
            <sz val="9"/>
            <rFont val="宋体"/>
            <charset val="134"/>
          </rPr>
          <t>属“独立完成”不填写本栏目。</t>
        </r>
      </text>
    </comment>
    <comment ref="K142" authorId="0">
      <text>
        <r>
          <rPr>
            <b/>
            <sz val="9"/>
            <rFont val="宋体"/>
            <charset val="134"/>
          </rPr>
          <t>作者:
直接填写数字！</t>
        </r>
        <r>
          <rPr>
            <sz val="9"/>
            <rFont val="宋体"/>
            <charset val="134"/>
          </rPr>
          <t>属“独立完成”不填写本栏目。</t>
        </r>
      </text>
    </comment>
    <comment ref="B143" authorId="0">
      <text>
        <r>
          <rPr>
            <b/>
            <sz val="9"/>
            <rFont val="宋体"/>
            <charset val="134"/>
          </rPr>
          <t>作者:</t>
        </r>
        <r>
          <rPr>
            <sz val="9"/>
            <rFont val="宋体"/>
            <charset val="134"/>
          </rPr>
          <t xml:space="preserve">
请在下拉列表中选择填写内容！</t>
        </r>
      </text>
    </comment>
    <comment ref="I143" authorId="3">
      <text>
        <r>
          <rPr>
            <b/>
            <sz val="9"/>
            <rFont val="宋体"/>
            <charset val="134"/>
          </rPr>
          <t xml:space="preserve">作者:
</t>
        </r>
        <r>
          <rPr>
            <sz val="9"/>
            <rFont val="宋体"/>
            <charset val="134"/>
          </rPr>
          <t>请在下拉列表中选择填写内容！</t>
        </r>
      </text>
    </comment>
    <comment ref="J143" authorId="4">
      <text>
        <r>
          <rPr>
            <b/>
            <sz val="9"/>
            <rFont val="宋体"/>
            <charset val="134"/>
          </rPr>
          <t>作者:
直接填写数字！</t>
        </r>
        <r>
          <rPr>
            <sz val="9"/>
            <rFont val="宋体"/>
            <charset val="134"/>
          </rPr>
          <t>属“独立完成”不填写本栏目。</t>
        </r>
      </text>
    </comment>
    <comment ref="K143" authorId="0">
      <text>
        <r>
          <rPr>
            <b/>
            <sz val="9"/>
            <rFont val="宋体"/>
            <charset val="134"/>
          </rPr>
          <t>作者:
直接填写数字！</t>
        </r>
        <r>
          <rPr>
            <sz val="9"/>
            <rFont val="宋体"/>
            <charset val="134"/>
          </rPr>
          <t>属“独立完成”不填写本栏目。</t>
        </r>
      </text>
    </comment>
    <comment ref="B147" authorId="0">
      <text>
        <r>
          <rPr>
            <b/>
            <sz val="9"/>
            <rFont val="宋体"/>
            <charset val="134"/>
          </rPr>
          <t>作者:</t>
        </r>
        <r>
          <rPr>
            <sz val="9"/>
            <rFont val="宋体"/>
            <charset val="134"/>
          </rPr>
          <t xml:space="preserve">
请在下拉列表中选择填写内容！</t>
        </r>
      </text>
    </comment>
    <comment ref="C147" authorId="2">
      <text>
        <r>
          <rPr>
            <b/>
            <sz val="9"/>
            <rFont val="宋体"/>
            <charset val="134"/>
          </rPr>
          <t>Admin:</t>
        </r>
        <r>
          <rPr>
            <sz val="9"/>
            <rFont val="宋体"/>
            <charset val="134"/>
          </rPr>
          <t xml:space="preserve">
请在下拉列表中选择填写内容！
</t>
        </r>
      </text>
    </comment>
    <comment ref="E147" authorId="0">
      <text>
        <r>
          <rPr>
            <b/>
            <sz val="9"/>
            <rFont val="宋体"/>
            <charset val="134"/>
          </rPr>
          <t>作者:</t>
        </r>
        <r>
          <rPr>
            <sz val="9"/>
            <rFont val="宋体"/>
            <charset val="134"/>
          </rPr>
          <t xml:space="preserve">
请在下拉列表中选择填写内容！</t>
        </r>
      </text>
    </comment>
    <comment ref="I147" authorId="3">
      <text>
        <r>
          <rPr>
            <b/>
            <sz val="9"/>
            <rFont val="宋体"/>
            <charset val="134"/>
          </rPr>
          <t xml:space="preserve">作者:
</t>
        </r>
        <r>
          <rPr>
            <sz val="9"/>
            <rFont val="宋体"/>
            <charset val="134"/>
          </rPr>
          <t>请在下拉列表中选择填写内容！</t>
        </r>
      </text>
    </comment>
    <comment ref="J147" authorId="0">
      <text>
        <r>
          <rPr>
            <b/>
            <sz val="9"/>
            <rFont val="宋体"/>
            <charset val="134"/>
          </rPr>
          <t>作者:
直接填写数字！</t>
        </r>
        <r>
          <rPr>
            <sz val="9"/>
            <rFont val="宋体"/>
            <charset val="134"/>
          </rPr>
          <t>属“独立完成”不填写本栏目。</t>
        </r>
      </text>
    </comment>
    <comment ref="K147" authorId="0">
      <text>
        <r>
          <rPr>
            <b/>
            <sz val="9"/>
            <rFont val="宋体"/>
            <charset val="134"/>
          </rPr>
          <t>作者:
直接填写数字！</t>
        </r>
        <r>
          <rPr>
            <sz val="9"/>
            <rFont val="宋体"/>
            <charset val="134"/>
          </rPr>
          <t>属“独立完成”不填写本栏目。</t>
        </r>
      </text>
    </comment>
    <comment ref="B148" authorId="0">
      <text>
        <r>
          <rPr>
            <b/>
            <sz val="9"/>
            <rFont val="宋体"/>
            <charset val="134"/>
          </rPr>
          <t>作者:</t>
        </r>
        <r>
          <rPr>
            <sz val="9"/>
            <rFont val="宋体"/>
            <charset val="134"/>
          </rPr>
          <t xml:space="preserve">
请在下拉列表中选择填写内容！“示范专业”请选择“品牌专业”。</t>
        </r>
      </text>
    </comment>
    <comment ref="C148" authorId="2">
      <text>
        <r>
          <rPr>
            <b/>
            <sz val="9"/>
            <rFont val="宋体"/>
            <charset val="134"/>
          </rPr>
          <t>Admin:</t>
        </r>
        <r>
          <rPr>
            <sz val="9"/>
            <rFont val="宋体"/>
            <charset val="134"/>
          </rPr>
          <t xml:space="preserve">
请在下拉列表中选择填写内容！
</t>
        </r>
      </text>
    </comment>
    <comment ref="E148" authorId="0">
      <text>
        <r>
          <rPr>
            <b/>
            <sz val="9"/>
            <rFont val="宋体"/>
            <charset val="134"/>
          </rPr>
          <t>作者:</t>
        </r>
        <r>
          <rPr>
            <sz val="9"/>
            <rFont val="宋体"/>
            <charset val="134"/>
          </rPr>
          <t xml:space="preserve">
请在下拉列表中选择填写内容！</t>
        </r>
      </text>
    </comment>
    <comment ref="I148" authorId="3">
      <text>
        <r>
          <rPr>
            <b/>
            <sz val="9"/>
            <rFont val="宋体"/>
            <charset val="134"/>
          </rPr>
          <t xml:space="preserve">作者:
</t>
        </r>
        <r>
          <rPr>
            <sz val="9"/>
            <rFont val="宋体"/>
            <charset val="134"/>
          </rPr>
          <t>请在下拉列表中选择填写内容！</t>
        </r>
      </text>
    </comment>
    <comment ref="J148" authorId="0">
      <text>
        <r>
          <rPr>
            <b/>
            <sz val="9"/>
            <rFont val="宋体"/>
            <charset val="134"/>
          </rPr>
          <t>作者:
直接填写数字！</t>
        </r>
        <r>
          <rPr>
            <sz val="9"/>
            <rFont val="宋体"/>
            <charset val="134"/>
          </rPr>
          <t>属“独立完成”不填写本栏目。</t>
        </r>
      </text>
    </comment>
    <comment ref="K148" authorId="0">
      <text>
        <r>
          <rPr>
            <b/>
            <sz val="9"/>
            <rFont val="宋体"/>
            <charset val="134"/>
          </rPr>
          <t>作者:
直接填写数字！</t>
        </r>
        <r>
          <rPr>
            <sz val="9"/>
            <rFont val="宋体"/>
            <charset val="134"/>
          </rPr>
          <t>属“独立完成”不填写本栏目。</t>
        </r>
      </text>
    </comment>
    <comment ref="B149" authorId="0">
      <text>
        <r>
          <rPr>
            <b/>
            <sz val="9"/>
            <rFont val="宋体"/>
            <charset val="134"/>
          </rPr>
          <t>作者:</t>
        </r>
        <r>
          <rPr>
            <sz val="9"/>
            <rFont val="宋体"/>
            <charset val="134"/>
          </rPr>
          <t xml:space="preserve">
请在下拉列表中选择填写内容！“示范专业”请选择“品牌专业”。</t>
        </r>
      </text>
    </comment>
    <comment ref="C149" authorId="2">
      <text>
        <r>
          <rPr>
            <b/>
            <sz val="9"/>
            <rFont val="宋体"/>
            <charset val="134"/>
          </rPr>
          <t>Admin:</t>
        </r>
        <r>
          <rPr>
            <sz val="9"/>
            <rFont val="宋体"/>
            <charset val="134"/>
          </rPr>
          <t xml:space="preserve">
请在下拉列表中选择填写内容！
</t>
        </r>
      </text>
    </comment>
    <comment ref="E149" authorId="0">
      <text>
        <r>
          <rPr>
            <b/>
            <sz val="9"/>
            <rFont val="宋体"/>
            <charset val="134"/>
          </rPr>
          <t>作者:</t>
        </r>
        <r>
          <rPr>
            <sz val="9"/>
            <rFont val="宋体"/>
            <charset val="134"/>
          </rPr>
          <t xml:space="preserve">
请在下拉列表中选择填写内容！</t>
        </r>
      </text>
    </comment>
    <comment ref="I149" authorId="3">
      <text>
        <r>
          <rPr>
            <b/>
            <sz val="9"/>
            <rFont val="宋体"/>
            <charset val="134"/>
          </rPr>
          <t xml:space="preserve">作者:
</t>
        </r>
        <r>
          <rPr>
            <sz val="9"/>
            <rFont val="宋体"/>
            <charset val="134"/>
          </rPr>
          <t>请在下拉列表中选择填写内容！</t>
        </r>
      </text>
    </comment>
    <comment ref="J149" authorId="0">
      <text>
        <r>
          <rPr>
            <b/>
            <sz val="9"/>
            <rFont val="宋体"/>
            <charset val="134"/>
          </rPr>
          <t>作者:
直接填写数字！</t>
        </r>
        <r>
          <rPr>
            <sz val="9"/>
            <rFont val="宋体"/>
            <charset val="134"/>
          </rPr>
          <t>属“独立完成”不填写本栏目。</t>
        </r>
      </text>
    </comment>
    <comment ref="K149" authorId="0">
      <text>
        <r>
          <rPr>
            <b/>
            <sz val="9"/>
            <rFont val="宋体"/>
            <charset val="134"/>
          </rPr>
          <t>作者:
直接填写数字！</t>
        </r>
        <r>
          <rPr>
            <sz val="9"/>
            <rFont val="宋体"/>
            <charset val="134"/>
          </rPr>
          <t>属“独立完成”不填写本栏目。</t>
        </r>
      </text>
    </comment>
  </commentList>
</comments>
</file>

<file path=xl/sharedStrings.xml><?xml version="1.0" encoding="utf-8"?>
<sst xmlns="http://schemas.openxmlformats.org/spreadsheetml/2006/main" count="620" uniqueCount="393">
  <si>
    <t>填表说明：</t>
  </si>
  <si>
    <t>1.本表由本人填写，所在部门（单位）审核。</t>
  </si>
  <si>
    <t>2.填表前请认真阅读填表说明及相关文件，由前至后，严格按照提示，认真如实填写！</t>
  </si>
  <si>
    <t>3.填写完毕后请使用A4纸单面打印。</t>
  </si>
  <si>
    <t>4.本表中所有成果须为取得中级专业技术职务以来的成果。成果认定截止时间按照相关文件规定。</t>
  </si>
  <si>
    <r>
      <rPr>
        <sz val="11"/>
        <color indexed="9"/>
        <rFont val="宋体"/>
        <charset val="134"/>
      </rPr>
      <t>5.表中所有涉及年月项目必须采用“</t>
    </r>
    <r>
      <rPr>
        <sz val="11"/>
        <color indexed="10"/>
        <rFont val="宋体"/>
        <charset val="134"/>
      </rPr>
      <t>XXXX年X月</t>
    </r>
    <r>
      <rPr>
        <sz val="11"/>
        <color indexed="9"/>
        <rFont val="宋体"/>
        <charset val="134"/>
      </rPr>
      <t>”的格式进行填写。</t>
    </r>
  </si>
  <si>
    <t>大连职业技术学院（大连开放大学）
专业技术职称评审量化赋分认定表</t>
  </si>
  <si>
    <t>年度</t>
  </si>
  <si>
    <t>部门（单位）:</t>
  </si>
  <si>
    <t>姓        名:</t>
  </si>
  <si>
    <t>现专业技术职称:</t>
  </si>
  <si>
    <t>现专业技术层级:</t>
  </si>
  <si>
    <t>中级</t>
  </si>
  <si>
    <t>申报评审系列:</t>
  </si>
  <si>
    <t>辅导员</t>
  </si>
  <si>
    <t>申报专业技术职称:</t>
  </si>
  <si>
    <t>副教授</t>
  </si>
  <si>
    <t>填 表 时 间:</t>
  </si>
  <si>
    <t>教师发展中心制</t>
  </si>
  <si>
    <t>姓 名</t>
  </si>
  <si>
    <t>性 别</t>
  </si>
  <si>
    <t>出生日期</t>
  </si>
  <si>
    <t>年龄</t>
  </si>
  <si>
    <t>最后学位（学历）</t>
  </si>
  <si>
    <t>最高学位（学历）
专业</t>
  </si>
  <si>
    <t>学位（学历）授予单位</t>
  </si>
  <si>
    <t>学历（位）及取得时间</t>
  </si>
  <si>
    <t>中级职称取得年限</t>
  </si>
  <si>
    <t>最高学位（学历）取得时间</t>
  </si>
  <si>
    <t>最高学位（学历）
取得年限</t>
  </si>
  <si>
    <t>部门（单位）</t>
  </si>
  <si>
    <t>现任专业技术职称</t>
  </si>
  <si>
    <t>中级职称取得时间</t>
  </si>
  <si>
    <t>考核优秀是否满足条件</t>
  </si>
  <si>
    <t>从事学生工作时间是否满足必备条件</t>
  </si>
  <si>
    <t>现工作岗位</t>
  </si>
  <si>
    <t>从事大学生思想政治工作时间（年）</t>
  </si>
  <si>
    <t>任现职以来考核为优秀的年度
（填报最近的1次）</t>
  </si>
  <si>
    <t>一、教育教学工作经历</t>
  </si>
  <si>
    <t>近五年来独立
承担的思想政治 教育相关课程的教学任务</t>
  </si>
  <si>
    <t>课程名称</t>
  </si>
  <si>
    <t>授课学期</t>
  </si>
  <si>
    <t>授课班级</t>
  </si>
  <si>
    <t>认定结果</t>
  </si>
  <si>
    <t>认定人</t>
  </si>
  <si>
    <t>授课门数</t>
  </si>
  <si>
    <t>授课门数是否满足条件</t>
  </si>
  <si>
    <t>近五年来为大学生或学生工作队伍开展讲座、培训、党团课、班团会、心理健康教育与咨询、组织指导学生开展社会调查、军事训练等
实践类课程</t>
  </si>
  <si>
    <t>授课次数</t>
  </si>
  <si>
    <t>授课次数是否满足必备条件</t>
  </si>
  <si>
    <t>进5年专职辅导
学生人数</t>
  </si>
  <si>
    <t>年均
辅导人数</t>
  </si>
  <si>
    <t>工作量得分</t>
  </si>
  <si>
    <t>工作量是否满足必备条件</t>
  </si>
  <si>
    <t>进5年班导师
（兼职辅导员）带班数</t>
  </si>
  <si>
    <t>学生工作处 团委、就业部门中的专职工作人员完成本职工作，且近五年年度考核均合格，视为完成1个班级的兼职辅导员或班导师任务</t>
  </si>
  <si>
    <t>年均
带班数</t>
  </si>
  <si>
    <t>近三年继续教育
（培训进修）</t>
  </si>
  <si>
    <t>类别</t>
  </si>
  <si>
    <t>起止时间</t>
  </si>
  <si>
    <t>参加培训名称</t>
  </si>
  <si>
    <t>培训地点</t>
  </si>
  <si>
    <t>培训学时</t>
  </si>
  <si>
    <t>培训基础分数</t>
  </si>
  <si>
    <t>培训加分</t>
  </si>
  <si>
    <t>国培次数</t>
  </si>
  <si>
    <t>境外线上线下培训次数</t>
  </si>
  <si>
    <t>是否满足必备条件</t>
  </si>
  <si>
    <t>培养其它层级教师</t>
  </si>
  <si>
    <t>培养对象
姓名</t>
  </si>
  <si>
    <t>培养时间</t>
  </si>
  <si>
    <t>开始培养时
培养对象职称</t>
  </si>
  <si>
    <t>开始培养时
培养对象年龄</t>
  </si>
  <si>
    <t>培养对象工作岗位</t>
  </si>
  <si>
    <t>培养人数</t>
  </si>
  <si>
    <t>得分</t>
  </si>
  <si>
    <t>任副高级职称以来所指导青年教师获得荣誉、成果情况</t>
  </si>
  <si>
    <t>分项</t>
  </si>
  <si>
    <t>级别</t>
  </si>
  <si>
    <t>名称</t>
  </si>
  <si>
    <t>颁发部门机构</t>
  </si>
  <si>
    <t>完成情况</t>
  </si>
  <si>
    <t>合作人数</t>
  </si>
  <si>
    <t>排序</t>
  </si>
  <si>
    <t>权重系数</t>
  </si>
  <si>
    <t>量化得分</t>
  </si>
  <si>
    <t>被培养人分值1</t>
  </si>
  <si>
    <t>被培养人分值2</t>
  </si>
  <si>
    <t>培养对象符合条件数量</t>
  </si>
  <si>
    <t>合计</t>
  </si>
  <si>
    <t>二、学生工作业绩成果</t>
  </si>
  <si>
    <t>1：任中级职称以来个人或团体学生工作相关荣誉称号情况</t>
  </si>
  <si>
    <t>本人排序</t>
  </si>
  <si>
    <t>学生团体荣誉分值</t>
  </si>
  <si>
    <t>个人荣誉分值</t>
  </si>
  <si>
    <t>团体权重系数</t>
  </si>
  <si>
    <t>省级以上数量</t>
  </si>
  <si>
    <t>市级数量</t>
  </si>
  <si>
    <t>校级数量</t>
  </si>
  <si>
    <t>2：任中级职称以来个人或所带团体在各类与学生工作相关的比赛中获奖情况</t>
  </si>
  <si>
    <t>获奖级别</t>
  </si>
  <si>
    <t>获奖等级</t>
  </si>
  <si>
    <t>获奖时间</t>
  </si>
  <si>
    <t>指导国家级分值</t>
  </si>
  <si>
    <t>指导市级分值</t>
  </si>
  <si>
    <t>指导校级分值</t>
  </si>
  <si>
    <t>指导世界级分值</t>
  </si>
  <si>
    <t>指导省级分值</t>
  </si>
  <si>
    <t>指导国开等级分值</t>
  </si>
  <si>
    <t>指导系数</t>
  </si>
  <si>
    <t>本人系数</t>
  </si>
  <si>
    <t>本人国家级分值</t>
  </si>
  <si>
    <t>本人市级分值</t>
  </si>
  <si>
    <t>本人校级分值</t>
  </si>
  <si>
    <t>本人国开等级分值</t>
  </si>
  <si>
    <t>本人省级分值</t>
  </si>
  <si>
    <t>个人或前2省级以上数量</t>
  </si>
  <si>
    <t>个人或前2市级数量</t>
  </si>
  <si>
    <t>个人或前2校级数量</t>
  </si>
  <si>
    <t>是否满足条件</t>
  </si>
  <si>
    <t>3：任中级职称以来个人或做为团体第1人完成的学生工作相关的项目、案例、课程等成果获得表彰情况</t>
  </si>
  <si>
    <t>成果类别</t>
  </si>
  <si>
    <t>成果名称</t>
  </si>
  <si>
    <t>表彰级别</t>
  </si>
  <si>
    <t>表彰机构</t>
  </si>
  <si>
    <t>国家级分值</t>
  </si>
  <si>
    <t>省级分值</t>
  </si>
  <si>
    <t>市级分值</t>
  </si>
  <si>
    <t>校级分值</t>
  </si>
  <si>
    <t>其他院校分值</t>
  </si>
  <si>
    <t>省级以上满足数量</t>
  </si>
  <si>
    <t>市级满足数量</t>
  </si>
  <si>
    <t>校级满足数量</t>
  </si>
  <si>
    <t>团队建设合作系数</t>
  </si>
  <si>
    <t>其他荣誉合作系数</t>
  </si>
  <si>
    <t>4：任中级职称以来的辅导员名师工作室、与学生工作相关的孵化基地等项目建设情况</t>
  </si>
  <si>
    <t>项目(企业）级别</t>
  </si>
  <si>
    <t>工作室或基地名称</t>
  </si>
  <si>
    <t>孵化基地合作系数</t>
  </si>
  <si>
    <t>辅导员名师系数</t>
  </si>
  <si>
    <t>辅导员名师分值</t>
  </si>
  <si>
    <t>孵化基地分值</t>
  </si>
  <si>
    <t>市级以上负责数量</t>
  </si>
  <si>
    <t>市级以上前2参与数量</t>
  </si>
  <si>
    <t>三、教学科研业绩成果</t>
  </si>
  <si>
    <t>1-1：任中级职称以来与学生工作相关学术论文发表情况</t>
  </si>
  <si>
    <t>刊物级别</t>
  </si>
  <si>
    <t>论文名称</t>
  </si>
  <si>
    <t>发表刊物</t>
  </si>
  <si>
    <t>学校署名</t>
  </si>
  <si>
    <t>合作系数</t>
  </si>
  <si>
    <t>JA三大检索得分</t>
  </si>
  <si>
    <t>中文核心期刊得分</t>
  </si>
  <si>
    <t>CA三大检索得分</t>
  </si>
  <si>
    <t>一般期刊、外文期刊</t>
  </si>
  <si>
    <t>国际学术会议论文集</t>
  </si>
  <si>
    <t>国家级重要报刊</t>
  </si>
  <si>
    <t>省级重要报刊理论版</t>
  </si>
  <si>
    <t>市级重要报刊</t>
  </si>
  <si>
    <t>综合</t>
  </si>
  <si>
    <t>第一作者领先级论文数量</t>
  </si>
  <si>
    <t>第一作者论文数量</t>
  </si>
  <si>
    <t>省级以上重要报刊发表文章数量</t>
  </si>
  <si>
    <t>1-2：任中级职称以来的与学生工作相关的著作、教材情况</t>
  </si>
  <si>
    <t>项目类别</t>
  </si>
  <si>
    <t>出版社</t>
  </si>
  <si>
    <t>是否再版</t>
  </si>
  <si>
    <t>出版时间</t>
  </si>
  <si>
    <t>编写字数
(万字)</t>
  </si>
  <si>
    <t>排名次序</t>
  </si>
  <si>
    <t>系数</t>
  </si>
  <si>
    <t>每万字分值</t>
  </si>
  <si>
    <t>再版系数</t>
  </si>
  <si>
    <t>普通教材</t>
  </si>
  <si>
    <t>省级规划教材</t>
  </si>
  <si>
    <t>国家级规划教材</t>
  </si>
  <si>
    <t>编著、译著</t>
  </si>
  <si>
    <t>学术专著</t>
  </si>
  <si>
    <t>校本教材、实训指导书</t>
  </si>
  <si>
    <t>国家级马克思教材</t>
  </si>
  <si>
    <t>省级马克思教材</t>
  </si>
  <si>
    <t>普通马克思主义教材</t>
  </si>
  <si>
    <t>满足主编的数量</t>
  </si>
  <si>
    <t>满足参编的数量</t>
  </si>
  <si>
    <t>2-1：任中级职称以来完成的与学生工作相关的教科研课题项目情况</t>
  </si>
  <si>
    <t>项目级别</t>
  </si>
  <si>
    <t>立项机构</t>
  </si>
  <si>
    <t>经费(万元)</t>
  </si>
  <si>
    <t>项目分值</t>
  </si>
  <si>
    <t>横向经费加分</t>
  </si>
  <si>
    <t>横向经费上限分</t>
  </si>
  <si>
    <t>国家级课题项目</t>
  </si>
  <si>
    <t>省级课题项目</t>
  </si>
  <si>
    <t>市级课题项目</t>
  </si>
  <si>
    <t>校级课题项目</t>
  </si>
  <si>
    <t>横向课题项目</t>
  </si>
  <si>
    <t>市级以上课题主持次数</t>
  </si>
  <si>
    <t>前2名参与省级以上课题次数</t>
  </si>
  <si>
    <t>2-2：任中级职称以来完成横向技术项目情况</t>
  </si>
  <si>
    <t>服务对象</t>
  </si>
  <si>
    <t>3：任中级职称以来获得的教学科研成果奖项情况</t>
  </si>
  <si>
    <t>奖项类别</t>
  </si>
  <si>
    <t>奖励部门</t>
  </si>
  <si>
    <t>国开等级分值</t>
  </si>
  <si>
    <t>主持并获得市级以上次数</t>
  </si>
  <si>
    <t>前两名参与获得市级及以上次数</t>
  </si>
  <si>
    <t>4:任中级职称以来新媒体影响力情况</t>
  </si>
  <si>
    <t>成果类型</t>
  </si>
  <si>
    <t>新媒体平台类别</t>
  </si>
  <si>
    <t>点击量
（万）</t>
  </si>
  <si>
    <t>评论转发引用量（万）</t>
  </si>
  <si>
    <t>省级以上得分</t>
  </si>
  <si>
    <t>其他得分</t>
  </si>
  <si>
    <t>满足条件数量</t>
  </si>
  <si>
    <t>5：任中级职称以来的创新教学团队建设情况</t>
  </si>
  <si>
    <t>教学、科研团队分值</t>
  </si>
  <si>
    <t>主持团队建设数量</t>
  </si>
  <si>
    <t>前2参与市级以上团队数量</t>
  </si>
  <si>
    <t>6：任中级职称以来发明专利情况</t>
  </si>
  <si>
    <t>专利类别</t>
  </si>
  <si>
    <t>颁发机构</t>
  </si>
  <si>
    <t>分值</t>
  </si>
  <si>
    <t>外观设计专利</t>
  </si>
  <si>
    <t>软件著作权登记</t>
  </si>
  <si>
    <t>实用新型专利</t>
  </si>
  <si>
    <t>发明专利</t>
  </si>
  <si>
    <t>第一人发明数量</t>
  </si>
  <si>
    <t>第一人实用新型数量</t>
  </si>
  <si>
    <t>五、其他成绩附加项</t>
  </si>
  <si>
    <t>文化建设项目分值</t>
  </si>
  <si>
    <t>产教融合项目分值</t>
  </si>
  <si>
    <t>教学名师分值</t>
  </si>
  <si>
    <t>专业、学术带头人分值</t>
  </si>
  <si>
    <t>骨干分值</t>
  </si>
  <si>
    <t>技能大师分值</t>
  </si>
  <si>
    <t>社团指导教师分值</t>
  </si>
  <si>
    <t>党组织、其他团体分值</t>
  </si>
  <si>
    <t>教师党支部书记分值</t>
  </si>
  <si>
    <t>党务、其他工作项目荣誉分值</t>
  </si>
  <si>
    <t>专业技术职称评审量化赋分结果汇总</t>
  </si>
  <si>
    <t>基本条件</t>
  </si>
  <si>
    <t>学历（位）得分</t>
  </si>
  <si>
    <t>中级职称取得年限分</t>
  </si>
  <si>
    <t>基本条件得分合计</t>
  </si>
  <si>
    <t>教育教学
工作经历</t>
  </si>
  <si>
    <t>从事大学生思想政治工作时间是否满足必备条件</t>
  </si>
  <si>
    <t>年度考核优秀
是否满足必备条件</t>
  </si>
  <si>
    <t>承担的教学任务
是否满足必备条件</t>
  </si>
  <si>
    <t>辅导学生人数
得分</t>
  </si>
  <si>
    <t>辅导学生人数
是否满足必备条件</t>
  </si>
  <si>
    <t>继续教育得分</t>
  </si>
  <si>
    <t>继续教育是否满足必备条件</t>
  </si>
  <si>
    <t>培养其它层级教师得分</t>
  </si>
  <si>
    <t>教育教学工作经历
得分合计</t>
  </si>
  <si>
    <t>学生工作
业绩成果</t>
  </si>
  <si>
    <t>荣誉称号得分</t>
  </si>
  <si>
    <t>荣誉称号
是否满足必备条件</t>
  </si>
  <si>
    <t>比赛中获奖得分</t>
  </si>
  <si>
    <t>比赛获奖
是否满足必备条件</t>
  </si>
  <si>
    <t>学生工作业绩成果
得分合计</t>
  </si>
  <si>
    <t>成果推广获得表彰得分</t>
  </si>
  <si>
    <t>成果推广获得表彰
是否满足必备条件</t>
  </si>
  <si>
    <t>工作室、项目建设
得分</t>
  </si>
  <si>
    <t>工作室、项目建设
是否满足必备条件</t>
  </si>
  <si>
    <t>教学科研
业绩成果</t>
  </si>
  <si>
    <t>论文发表得分</t>
  </si>
  <si>
    <t>著作、教材得分</t>
  </si>
  <si>
    <t>论文发表与著作、教材
是否满足必备条件</t>
  </si>
  <si>
    <t>教科研课题得分</t>
  </si>
  <si>
    <t>横向课题得分</t>
  </si>
  <si>
    <t>教学科研课题
是否满足必备条件</t>
  </si>
  <si>
    <t>教学科研成果
奖项得分</t>
  </si>
  <si>
    <t>教科研成果是否满足必备条件</t>
  </si>
  <si>
    <t>新媒体影响力得分</t>
  </si>
  <si>
    <t>新媒体影响力
是否满足必备条件</t>
  </si>
  <si>
    <t>团队建设得分</t>
  </si>
  <si>
    <t>发明专利得分</t>
  </si>
  <si>
    <t>教学教研业绩成果
得分合计</t>
  </si>
  <si>
    <t>结果汇总</t>
  </si>
  <si>
    <t>其他成绩附加
得分合计</t>
  </si>
  <si>
    <t>基本条件是否满足</t>
  </si>
  <si>
    <t>教育教学经历
是否满足</t>
  </si>
  <si>
    <t>学生工作业绩成果
是否满足</t>
  </si>
  <si>
    <t>教学教研业绩是否满足</t>
  </si>
  <si>
    <t>基本条件满足数量</t>
  </si>
  <si>
    <t>教育教学满足数量</t>
  </si>
  <si>
    <t>学生工作业绩成果满足数量</t>
  </si>
  <si>
    <t>教科研业绩满足数量</t>
  </si>
  <si>
    <t>是否具备申报资格</t>
  </si>
  <si>
    <t>总计得分：</t>
  </si>
  <si>
    <t>本人承诺</t>
  </si>
  <si>
    <t xml:space="preserve">       
        所填内容属实，如有虚报，本人愿承担所有后果。
                                     本  人（签名）：              年    月     日        </t>
  </si>
  <si>
    <t>所在部门（单位）审核意见</t>
  </si>
  <si>
    <t xml:space="preserve">        
        经查，该同志所填内容属实，佐证材料完备，同意申报。
         负责人（签名）：               公章
                                                                  年    月     日</t>
  </si>
  <si>
    <t>学校专业技术岗位等级晋升工作领导小组意见</t>
  </si>
  <si>
    <t xml:space="preserve">        负责人（签名）：               公章
                                                                  年    月     日</t>
  </si>
  <si>
    <t>大连职业技术学院（大连开放大学）专业技术职称评审量化赋分认定表（ 2023 年度）</t>
  </si>
  <si>
    <t>序号</t>
  </si>
  <si>
    <t>姓名</t>
  </si>
  <si>
    <t>性别</t>
  </si>
  <si>
    <t>从事学生工作时长（年）</t>
  </si>
  <si>
    <t>现专业技术职称情况</t>
  </si>
  <si>
    <t>申报专业技术职称</t>
  </si>
  <si>
    <t>量化赋分结果汇总</t>
  </si>
  <si>
    <t>总计得分</t>
  </si>
  <si>
    <t>项目设计能力</t>
  </si>
  <si>
    <t>产教融合能力</t>
  </si>
  <si>
    <t>其他成绩附加</t>
  </si>
  <si>
    <t>服务专业领域</t>
  </si>
  <si>
    <t>服务行业企业</t>
  </si>
  <si>
    <t>教育教学改革项目</t>
  </si>
  <si>
    <t>著作、教材及教学（实验）标准</t>
  </si>
  <si>
    <t>个人荣誉</t>
  </si>
  <si>
    <t>素质教育类社团指导</t>
  </si>
  <si>
    <t>实训项目</t>
  </si>
  <si>
    <t>产教融合项目</t>
  </si>
  <si>
    <t>国家级</t>
  </si>
  <si>
    <t>大型企业</t>
  </si>
  <si>
    <t>国家级项目</t>
  </si>
  <si>
    <r>
      <rPr>
        <sz val="10.5"/>
        <rFont val="宋体"/>
        <charset val="134"/>
      </rPr>
      <t>普通教材</t>
    </r>
  </si>
  <si>
    <t>教学名师</t>
  </si>
  <si>
    <r>
      <rPr>
        <sz val="10.5"/>
        <rFont val="宋体"/>
        <charset val="134"/>
      </rPr>
      <t>社团指导教师</t>
    </r>
  </si>
  <si>
    <t>创新创业项目</t>
  </si>
  <si>
    <t>团体荣誉</t>
  </si>
  <si>
    <t>省级</t>
  </si>
  <si>
    <t>国家级行业协会</t>
  </si>
  <si>
    <t>省级项目</t>
  </si>
  <si>
    <r>
      <rPr>
        <sz val="10.5"/>
        <rFont val="宋体"/>
        <charset val="134"/>
      </rPr>
      <t>省级规划教材</t>
    </r>
  </si>
  <si>
    <t>学术带头人</t>
  </si>
  <si>
    <t>工作项目荣誉</t>
  </si>
  <si>
    <t>市级</t>
  </si>
  <si>
    <t>中型企业</t>
  </si>
  <si>
    <t>市级项目</t>
  </si>
  <si>
    <t>技能大师</t>
  </si>
  <si>
    <t>校级</t>
  </si>
  <si>
    <t>省级行业协会</t>
  </si>
  <si>
    <t>校级项目</t>
  </si>
  <si>
    <t>骨干教师</t>
  </si>
  <si>
    <t>小型企业</t>
  </si>
  <si>
    <t>科研骨干</t>
  </si>
  <si>
    <t>市级行业协会</t>
  </si>
  <si>
    <t>教师党支部书记</t>
  </si>
  <si>
    <t>微型企业</t>
  </si>
  <si>
    <r>
      <rPr>
        <sz val="14"/>
        <rFont val="宋体"/>
        <charset val="134"/>
      </rPr>
      <t>学术论文或文章发表</t>
    </r>
  </si>
  <si>
    <t>教科研、党建、统战课题项目</t>
  </si>
  <si>
    <t>项目类型</t>
  </si>
  <si>
    <t>本人比赛获奖级别</t>
  </si>
  <si>
    <t>指导学生比赛获奖</t>
  </si>
  <si>
    <t>专业建设</t>
  </si>
  <si>
    <t>课程建设</t>
  </si>
  <si>
    <t>团队建设</t>
  </si>
  <si>
    <t>文化建设项目</t>
  </si>
  <si>
    <t>其他建设项目</t>
  </si>
  <si>
    <r>
      <rPr>
        <sz val="10.5"/>
        <rFont val="宋体"/>
        <charset val="134"/>
      </rPr>
      <t>工作项目荣誉</t>
    </r>
  </si>
  <si>
    <t>JA三大检索</t>
  </si>
  <si>
    <t>国家级成果奖</t>
  </si>
  <si>
    <t>世界技能大赛</t>
  </si>
  <si>
    <t>品牌（示范）专业</t>
  </si>
  <si>
    <t>课程案例</t>
  </si>
  <si>
    <t>教学团队</t>
  </si>
  <si>
    <t>学生团体荣誉</t>
  </si>
  <si>
    <t>文化建设</t>
  </si>
  <si>
    <t>实训项目建设</t>
  </si>
  <si>
    <t>中文核心期刊</t>
  </si>
  <si>
    <t>省级成果奖</t>
  </si>
  <si>
    <t>双高专业群</t>
  </si>
  <si>
    <t>精品教材</t>
  </si>
  <si>
    <t>科研创新团队（平台）</t>
  </si>
  <si>
    <t>辅导员名师</t>
  </si>
  <si>
    <t>党组织荣誉</t>
  </si>
  <si>
    <t>党务工作项目荣誉</t>
  </si>
  <si>
    <t>CA三大检索</t>
  </si>
  <si>
    <t>市级成果奖</t>
  </si>
  <si>
    <t>卓越校专业群</t>
  </si>
  <si>
    <t>教材建设奖</t>
  </si>
  <si>
    <t>专业带头人</t>
  </si>
  <si>
    <t>学生工作项目</t>
  </si>
  <si>
    <t>省级马克思主义教材</t>
  </si>
  <si>
    <t>国家开放大学成果奖</t>
  </si>
  <si>
    <t>国家开放大学</t>
  </si>
  <si>
    <t>五星级专业</t>
  </si>
  <si>
    <t>职业体验课</t>
  </si>
  <si>
    <t>校级成果奖</t>
  </si>
  <si>
    <t>四星级专业</t>
  </si>
  <si>
    <t>国家级马克思主义教材</t>
  </si>
  <si>
    <t>国家级教学奖</t>
  </si>
  <si>
    <t>主持资源库建设</t>
  </si>
  <si>
    <t>省级教学奖</t>
  </si>
  <si>
    <t>参与资源库建设</t>
  </si>
  <si>
    <t>马克思主义理论学术专著</t>
  </si>
  <si>
    <t>市级教学奖</t>
  </si>
  <si>
    <t>国家开放大学教学奖</t>
  </si>
  <si>
    <t>校级教学奖</t>
  </si>
</sst>
</file>

<file path=xl/styles.xml><?xml version="1.0" encoding="utf-8"?>
<styleSheet xmlns="http://schemas.openxmlformats.org/spreadsheetml/2006/main" xmlns:xr9="http://schemas.microsoft.com/office/spreadsheetml/2016/revision9">
  <numFmts count="1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0.00_ "/>
    <numFmt numFmtId="178" formatCode="[DBNum1][$-804]yyyy&quot;年&quot;m&quot;月&quot;;@"/>
    <numFmt numFmtId="179" formatCode="[=0]&quot;&quot;;General"/>
    <numFmt numFmtId="180" formatCode="0_ "/>
    <numFmt numFmtId="181" formatCode="[DBNum1][$-804]yyyy&quot;年&quot;m&quot;月&quot;d&quot;日&quot;;@"/>
    <numFmt numFmtId="182" formatCode="yyyy&quot;年&quot;m&quot;月&quot;d&quot;日&quot;;@"/>
    <numFmt numFmtId="183" formatCode="0_);[Red]\(0\)"/>
    <numFmt numFmtId="184" formatCode="0.000_ "/>
    <numFmt numFmtId="185" formatCode="0.0_);[Red]\(0.0\)"/>
    <numFmt numFmtId="186" formatCode="0.00_);[Red]\(0.00\)"/>
  </numFmts>
  <fonts count="51">
    <font>
      <sz val="12"/>
      <name val="宋体"/>
      <charset val="134"/>
    </font>
    <font>
      <sz val="14"/>
      <name val="宋体"/>
      <charset val="134"/>
    </font>
    <font>
      <sz val="10.5"/>
      <name val="宋体"/>
      <charset val="134"/>
    </font>
    <font>
      <sz val="9"/>
      <name val="宋体"/>
      <charset val="134"/>
    </font>
    <font>
      <sz val="10"/>
      <name val="宋体"/>
      <charset val="134"/>
    </font>
    <font>
      <b/>
      <sz val="9"/>
      <name val="楷体_GB2312"/>
      <charset val="134"/>
    </font>
    <font>
      <b/>
      <sz val="20"/>
      <name val="新宋体"/>
      <charset val="134"/>
    </font>
    <font>
      <sz val="12"/>
      <color theme="1"/>
      <name val="宋体"/>
      <charset val="134"/>
    </font>
    <font>
      <sz val="11"/>
      <color indexed="9"/>
      <name val="宋体"/>
      <charset val="134"/>
    </font>
    <font>
      <b/>
      <sz val="28"/>
      <name val="楷体_GB2312"/>
      <charset val="134"/>
    </font>
    <font>
      <b/>
      <u/>
      <sz val="18"/>
      <name val="宋体"/>
      <charset val="134"/>
    </font>
    <font>
      <sz val="24"/>
      <name val="华文中宋"/>
      <charset val="134"/>
    </font>
    <font>
      <b/>
      <sz val="16"/>
      <name val="楷体_GB2312"/>
      <charset val="134"/>
    </font>
    <font>
      <b/>
      <sz val="14"/>
      <name val="楷体_GB2312"/>
      <charset val="134"/>
    </font>
    <font>
      <b/>
      <sz val="15"/>
      <name val="楷体_GB2312"/>
      <charset val="134"/>
    </font>
    <font>
      <b/>
      <sz val="18"/>
      <name val="楷体_GB2312"/>
      <charset val="134"/>
    </font>
    <font>
      <b/>
      <sz val="10.5"/>
      <name val="楷体_GB2312"/>
      <charset val="134"/>
    </font>
    <font>
      <sz val="10.5"/>
      <name val="楷体_GB2312"/>
      <charset val="134"/>
    </font>
    <font>
      <b/>
      <sz val="12"/>
      <name val="宋体"/>
      <charset val="134"/>
    </font>
    <font>
      <b/>
      <sz val="18"/>
      <name val="宋体"/>
      <charset val="134"/>
    </font>
    <font>
      <b/>
      <sz val="11"/>
      <name val="楷体_GB2312"/>
      <charset val="134"/>
    </font>
    <font>
      <sz val="9"/>
      <name val="楷体_GB2312"/>
      <charset val="134"/>
    </font>
    <font>
      <b/>
      <sz val="11"/>
      <name val="宋体"/>
      <charset val="134"/>
    </font>
    <font>
      <sz val="11"/>
      <name val="宋体"/>
      <charset val="134"/>
    </font>
    <font>
      <sz val="14"/>
      <name val="仿宋_GB2312"/>
      <charset val="134"/>
    </font>
    <font>
      <sz val="11"/>
      <name val="楷体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10"/>
      <name val="宋体"/>
      <charset val="134"/>
    </font>
    <font>
      <b/>
      <sz val="9"/>
      <color indexed="10"/>
      <name val="宋体"/>
      <charset val="134"/>
    </font>
    <font>
      <b/>
      <sz val="9"/>
      <name val="宋体"/>
      <charset val="134"/>
    </font>
    <font>
      <sz val="9"/>
      <name val="宋体"/>
      <charset val="134"/>
    </font>
    <font>
      <sz val="9"/>
      <name val="Tahoma"/>
      <charset val="134"/>
    </font>
  </fonts>
  <fills count="40">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38"/>
        <bgColor indexed="64"/>
      </patternFill>
    </fill>
    <fill>
      <patternFill patternType="solid">
        <fgColor rgb="FFCCCCFF"/>
        <bgColor indexed="64"/>
      </patternFill>
    </fill>
    <fill>
      <patternFill patternType="solid">
        <fgColor indexed="31"/>
        <bgColor indexed="64"/>
      </patternFill>
    </fill>
    <fill>
      <patternFill patternType="solid">
        <fgColor rgb="FFFFFF00"/>
        <bgColor indexed="64"/>
      </patternFill>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9" borderId="1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10" borderId="16" applyNumberFormat="0" applyAlignment="0" applyProtection="0">
      <alignment vertical="center"/>
    </xf>
    <xf numFmtId="0" fontId="36" fillId="11" borderId="17" applyNumberFormat="0" applyAlignment="0" applyProtection="0">
      <alignment vertical="center"/>
    </xf>
    <xf numFmtId="0" fontId="37" fillId="11" borderId="16" applyNumberFormat="0" applyAlignment="0" applyProtection="0">
      <alignment vertical="center"/>
    </xf>
    <xf numFmtId="0" fontId="38" fillId="12" borderId="18" applyNumberFormat="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4" fillId="39" borderId="0" applyNumberFormat="0" applyBorder="0" applyAlignment="0" applyProtection="0">
      <alignment vertical="center"/>
    </xf>
    <xf numFmtId="14" fontId="0" fillId="0" borderId="0">
      <alignment vertical="center"/>
    </xf>
    <xf numFmtId="0" fontId="0" fillId="0" borderId="0">
      <alignment vertical="center"/>
    </xf>
    <xf numFmtId="0" fontId="0" fillId="0" borderId="0">
      <alignment vertical="center"/>
    </xf>
  </cellStyleXfs>
  <cellXfs count="282">
    <xf numFmtId="0" fontId="0" fillId="0" borderId="0" xfId="0">
      <alignment vertical="center"/>
    </xf>
    <xf numFmtId="0" fontId="1" fillId="0" borderId="1" xfId="0" applyFont="1" applyBorder="1" applyAlignment="1">
      <alignment horizontal="justify" vertical="center"/>
    </xf>
    <xf numFmtId="0" fontId="0" fillId="0" borderId="2" xfId="0"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xf>
    <xf numFmtId="0" fontId="0" fillId="0" borderId="0" xfId="0" applyBorder="1" applyAlignment="1">
      <alignment horizontal="center" vertical="center"/>
    </xf>
    <xf numFmtId="0" fontId="3"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pplyProtection="1">
      <alignment horizontal="center" vertical="center" wrapText="1"/>
      <protection hidden="1"/>
    </xf>
    <xf numFmtId="0" fontId="4" fillId="0" borderId="0" xfId="0" applyFont="1" applyAlignment="1">
      <alignment horizontal="center" wrapText="1"/>
    </xf>
    <xf numFmtId="0" fontId="6" fillId="0" borderId="0" xfId="0" applyFont="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176" fontId="5" fillId="0" borderId="2" xfId="0" applyNumberFormat="1" applyFont="1" applyBorder="1" applyAlignment="1" applyProtection="1">
      <alignment horizontal="center" vertical="center" wrapText="1"/>
      <protection hidden="1"/>
    </xf>
    <xf numFmtId="0" fontId="5" fillId="0" borderId="2" xfId="0" applyNumberFormat="1"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0" fontId="0" fillId="0" borderId="0" xfId="0"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177" fontId="5" fillId="0" borderId="2" xfId="0" applyNumberFormat="1" applyFont="1" applyBorder="1" applyAlignment="1" applyProtection="1">
      <alignment horizontal="center" vertical="center" wrapText="1"/>
      <protection hidden="1"/>
    </xf>
    <xf numFmtId="0" fontId="0" fillId="0" borderId="2" xfId="0" applyFill="1" applyBorder="1" applyProtection="1">
      <alignment vertical="center"/>
      <protection hidden="1"/>
    </xf>
    <xf numFmtId="0" fontId="0" fillId="0" borderId="0" xfId="0" applyFill="1" applyBorder="1" applyProtection="1">
      <alignment vertical="center"/>
      <protection locked="0" hidden="1"/>
    </xf>
    <xf numFmtId="0" fontId="0" fillId="0" borderId="6" xfId="0" applyFill="1" applyBorder="1" applyProtection="1">
      <alignment vertical="center"/>
      <protection locked="0" hidden="1"/>
    </xf>
    <xf numFmtId="0" fontId="0" fillId="0" borderId="2" xfId="0" applyFill="1" applyBorder="1" applyProtection="1">
      <alignment vertical="center"/>
      <protection locked="0" hidden="1"/>
    </xf>
    <xf numFmtId="0" fontId="7" fillId="2" borderId="2" xfId="0" applyFont="1" applyFill="1" applyBorder="1" applyProtection="1">
      <alignment vertical="center"/>
      <protection locked="0" hidden="1"/>
    </xf>
    <xf numFmtId="0" fontId="7" fillId="2" borderId="2" xfId="0" applyFont="1" applyFill="1" applyBorder="1" applyAlignment="1" applyProtection="1">
      <alignment horizontal="center" vertical="center"/>
      <protection locked="0" hidden="1"/>
    </xf>
    <xf numFmtId="0" fontId="7" fillId="2" borderId="1" xfId="0" applyFont="1" applyFill="1" applyBorder="1" applyProtection="1">
      <alignment vertical="center"/>
      <protection locked="0" hidden="1"/>
    </xf>
    <xf numFmtId="0" fontId="0" fillId="2" borderId="0" xfId="0" applyFill="1" applyBorder="1" applyProtection="1">
      <alignment vertical="center"/>
      <protection hidden="1"/>
    </xf>
    <xf numFmtId="0" fontId="0" fillId="0" borderId="0" xfId="0" applyFill="1" applyBorder="1" applyProtection="1">
      <alignment vertical="center"/>
      <protection hidden="1"/>
    </xf>
    <xf numFmtId="0" fontId="0" fillId="3" borderId="0" xfId="0" applyFill="1" applyBorder="1" applyProtection="1">
      <alignment vertical="center"/>
      <protection locked="0" hidden="1"/>
    </xf>
    <xf numFmtId="0" fontId="8" fillId="4" borderId="0" xfId="0" applyFont="1" applyFill="1" applyBorder="1" applyAlignment="1" applyProtection="1">
      <alignment horizontal="left" vertical="center"/>
      <protection hidden="1"/>
    </xf>
    <xf numFmtId="0" fontId="8" fillId="4" borderId="0" xfId="0" applyFont="1" applyFill="1" applyBorder="1" applyAlignment="1" applyProtection="1">
      <alignment vertical="center"/>
      <protection hidden="1"/>
    </xf>
    <xf numFmtId="0" fontId="0" fillId="5" borderId="0" xfId="0" applyFill="1" applyBorder="1" applyProtection="1">
      <alignment vertical="center"/>
      <protection hidden="1"/>
    </xf>
    <xf numFmtId="0" fontId="9" fillId="5" borderId="0" xfId="0" applyFont="1" applyFill="1" applyBorder="1" applyAlignment="1" applyProtection="1">
      <alignment horizontal="center" vertical="center" wrapText="1"/>
      <protection hidden="1"/>
    </xf>
    <xf numFmtId="0" fontId="10" fillId="5" borderId="0" xfId="0" applyFont="1" applyFill="1" applyBorder="1" applyAlignment="1" applyProtection="1">
      <alignment vertical="center"/>
      <protection hidden="1"/>
    </xf>
    <xf numFmtId="0" fontId="10" fillId="2" borderId="8" xfId="0" applyFont="1" applyFill="1" applyBorder="1" applyAlignment="1" applyProtection="1">
      <alignment horizontal="center" vertical="center"/>
      <protection locked="0" hidden="1"/>
    </xf>
    <xf numFmtId="0" fontId="0" fillId="5" borderId="0" xfId="0" applyFill="1" applyBorder="1" applyAlignment="1" applyProtection="1">
      <alignment vertical="center"/>
      <protection hidden="1"/>
    </xf>
    <xf numFmtId="0" fontId="11" fillId="5" borderId="0" xfId="0" applyFont="1" applyFill="1" applyBorder="1" applyAlignment="1" applyProtection="1">
      <alignment horizontal="center" vertical="center"/>
      <protection hidden="1"/>
    </xf>
    <xf numFmtId="0" fontId="12" fillId="5" borderId="0" xfId="0" applyFont="1" applyFill="1" applyBorder="1" applyAlignment="1" applyProtection="1">
      <protection hidden="1"/>
    </xf>
    <xf numFmtId="0" fontId="12" fillId="5" borderId="0" xfId="0" applyFont="1" applyFill="1" applyBorder="1" applyAlignment="1" applyProtection="1">
      <alignment horizontal="distributed"/>
      <protection hidden="1"/>
    </xf>
    <xf numFmtId="0" fontId="13" fillId="2" borderId="8" xfId="0" applyFont="1" applyFill="1" applyBorder="1" applyAlignment="1" applyProtection="1">
      <alignment horizontal="center" shrinkToFit="1"/>
      <protection locked="0" hidden="1"/>
    </xf>
    <xf numFmtId="0" fontId="14" fillId="5" borderId="0" xfId="0" applyFont="1" applyFill="1" applyBorder="1" applyAlignment="1" applyProtection="1">
      <protection hidden="1"/>
    </xf>
    <xf numFmtId="0" fontId="14" fillId="5" borderId="0" xfId="0" applyFont="1" applyFill="1" applyBorder="1" applyAlignment="1" applyProtection="1">
      <alignment horizontal="distributed"/>
      <protection hidden="1"/>
    </xf>
    <xf numFmtId="0" fontId="14" fillId="5" borderId="8" xfId="0" applyFont="1" applyFill="1" applyBorder="1" applyAlignment="1" applyProtection="1">
      <alignment horizontal="center"/>
      <protection hidden="1"/>
    </xf>
    <xf numFmtId="0" fontId="13" fillId="5" borderId="8" xfId="0" applyFont="1" applyFill="1" applyBorder="1" applyAlignment="1" applyProtection="1">
      <alignment horizontal="center"/>
      <protection hidden="1"/>
    </xf>
    <xf numFmtId="57" fontId="13" fillId="2" borderId="8" xfId="0" applyNumberFormat="1" applyFont="1" applyFill="1" applyBorder="1" applyAlignment="1" applyProtection="1">
      <alignment horizontal="center" shrinkToFit="1"/>
      <protection locked="0" hidden="1"/>
    </xf>
    <xf numFmtId="178" fontId="13" fillId="5" borderId="0" xfId="0" applyNumberFormat="1" applyFont="1" applyFill="1" applyBorder="1" applyAlignment="1" applyProtection="1">
      <alignment shrinkToFit="1"/>
      <protection hidden="1"/>
    </xf>
    <xf numFmtId="0" fontId="0" fillId="5" borderId="0" xfId="0" applyFill="1" applyBorder="1" applyAlignment="1" applyProtection="1">
      <alignment horizontal="center" vertical="center"/>
      <protection hidden="1"/>
    </xf>
    <xf numFmtId="0" fontId="12" fillId="5" borderId="0" xfId="0" applyFont="1" applyFill="1" applyBorder="1" applyAlignment="1" applyProtection="1">
      <alignment horizontal="center"/>
      <protection hidden="1"/>
    </xf>
    <xf numFmtId="178" fontId="13" fillId="5" borderId="0" xfId="0" applyNumberFormat="1" applyFont="1" applyFill="1" applyBorder="1" applyAlignment="1" applyProtection="1">
      <alignment horizontal="center" shrinkToFit="1"/>
      <protection hidden="1"/>
    </xf>
    <xf numFmtId="0" fontId="15" fillId="5" borderId="0" xfId="0" applyFont="1" applyFill="1" applyBorder="1" applyAlignment="1" applyProtection="1">
      <alignment horizontal="center"/>
      <protection hidden="1"/>
    </xf>
    <xf numFmtId="0" fontId="2" fillId="2" borderId="0" xfId="0" applyFont="1" applyFill="1" applyBorder="1" applyAlignment="1" applyProtection="1">
      <alignment horizontal="center" vertical="center" wrapText="1"/>
      <protection locked="0" hidden="1"/>
    </xf>
    <xf numFmtId="179" fontId="16" fillId="2" borderId="0" xfId="0" applyNumberFormat="1" applyFont="1" applyFill="1" applyBorder="1" applyAlignment="1" applyProtection="1">
      <alignment horizontal="center" vertical="center" wrapText="1"/>
      <protection locked="0" hidden="1"/>
    </xf>
    <xf numFmtId="0" fontId="16" fillId="2" borderId="0" xfId="0" applyFont="1" applyFill="1" applyBorder="1" applyAlignment="1" applyProtection="1">
      <alignment horizontal="center" vertical="center" shrinkToFit="1"/>
      <protection locked="0" hidden="1"/>
    </xf>
    <xf numFmtId="176" fontId="16" fillId="2" borderId="0"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hidden="1"/>
    </xf>
    <xf numFmtId="179" fontId="2" fillId="6" borderId="1" xfId="0" applyNumberFormat="1" applyFont="1" applyFill="1" applyBorder="1" applyAlignment="1" applyProtection="1">
      <alignment horizontal="center" vertical="center" shrinkToFit="1"/>
      <protection hidden="1"/>
    </xf>
    <xf numFmtId="179" fontId="2" fillId="6" borderId="6" xfId="0" applyNumberFormat="1" applyFont="1" applyFill="1" applyBorder="1" applyAlignment="1" applyProtection="1">
      <alignment horizontal="center" vertical="center" shrinkToFit="1"/>
      <protection hidden="1"/>
    </xf>
    <xf numFmtId="0" fontId="17" fillId="2" borderId="1" xfId="0" applyFont="1" applyFill="1" applyBorder="1" applyAlignment="1" applyProtection="1">
      <alignment horizontal="center" vertical="center" shrinkToFit="1"/>
      <protection locked="0" hidden="1"/>
    </xf>
    <xf numFmtId="0" fontId="17" fillId="2" borderId="6" xfId="0" applyFont="1" applyFill="1" applyBorder="1" applyAlignment="1" applyProtection="1">
      <alignment horizontal="center" vertical="center" shrinkToFit="1"/>
      <protection locked="0" hidden="1"/>
    </xf>
    <xf numFmtId="0" fontId="2" fillId="6" borderId="1"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wrapText="1" shrinkToFit="1"/>
      <protection hidden="1"/>
    </xf>
    <xf numFmtId="0" fontId="17" fillId="2" borderId="9" xfId="0" applyFont="1" applyFill="1" applyBorder="1" applyAlignment="1" applyProtection="1">
      <alignment horizontal="center" vertical="center" shrinkToFit="1"/>
      <protection locked="0" hidden="1"/>
    </xf>
    <xf numFmtId="57" fontId="2" fillId="2" borderId="5" xfId="0" applyNumberFormat="1" applyFont="1" applyFill="1" applyBorder="1" applyAlignment="1" applyProtection="1">
      <alignment horizontal="center" vertical="center" wrapText="1"/>
      <protection locked="0" hidden="1"/>
    </xf>
    <xf numFmtId="0" fontId="2" fillId="6" borderId="6" xfId="0" applyFont="1" applyFill="1" applyBorder="1" applyAlignment="1" applyProtection="1">
      <alignment horizontal="center" vertical="center" wrapText="1" shrinkToFit="1"/>
      <protection hidden="1"/>
    </xf>
    <xf numFmtId="57" fontId="17" fillId="2" borderId="2" xfId="0" applyNumberFormat="1" applyFont="1" applyFill="1" applyBorder="1" applyAlignment="1" applyProtection="1">
      <alignment horizontal="center" vertical="center" shrinkToFit="1"/>
      <protection locked="0" hidden="1"/>
    </xf>
    <xf numFmtId="0" fontId="17" fillId="2" borderId="2" xfId="0"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right" vertical="center" shrinkToFit="1"/>
      <protection hidden="1"/>
    </xf>
    <xf numFmtId="57" fontId="2" fillId="2" borderId="1" xfId="0" applyNumberFormat="1" applyFont="1" applyFill="1" applyBorder="1" applyAlignment="1" applyProtection="1">
      <alignment horizontal="center" vertical="center" wrapText="1"/>
      <protection locked="0" hidden="1"/>
    </xf>
    <xf numFmtId="57" fontId="2" fillId="2" borderId="9" xfId="0" applyNumberFormat="1" applyFont="1" applyFill="1" applyBorder="1" applyAlignment="1" applyProtection="1">
      <alignment horizontal="center" vertical="center" wrapText="1"/>
      <protection locked="0" hidden="1"/>
    </xf>
    <xf numFmtId="57" fontId="2" fillId="2" borderId="6" xfId="0" applyNumberFormat="1" applyFont="1" applyFill="1" applyBorder="1" applyAlignment="1" applyProtection="1">
      <alignment horizontal="center" vertical="center" wrapText="1"/>
      <protection locked="0" hidden="1"/>
    </xf>
    <xf numFmtId="0" fontId="18" fillId="6" borderId="2"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protection hidden="1"/>
    </xf>
    <xf numFmtId="0" fontId="2" fillId="6" borderId="9" xfId="0" applyFont="1" applyFill="1" applyBorder="1" applyAlignment="1" applyProtection="1">
      <alignment horizontal="center" vertical="center"/>
      <protection hidden="1"/>
    </xf>
    <xf numFmtId="0" fontId="2" fillId="6" borderId="6" xfId="0" applyFont="1" applyFill="1" applyBorder="1" applyAlignment="1" applyProtection="1">
      <alignment horizontal="center" vertical="center"/>
      <protection hidden="1"/>
    </xf>
    <xf numFmtId="180" fontId="16" fillId="2" borderId="2" xfId="0" applyNumberFormat="1" applyFont="1" applyFill="1" applyBorder="1" applyAlignment="1" applyProtection="1">
      <alignment horizontal="center" vertical="center" shrinkToFit="1"/>
      <protection locked="0" hidden="1"/>
    </xf>
    <xf numFmtId="180" fontId="16" fillId="2" borderId="1" xfId="0" applyNumberFormat="1" applyFont="1" applyFill="1" applyBorder="1" applyAlignment="1" applyProtection="1">
      <alignment horizontal="center" vertical="center" shrinkToFit="1"/>
      <protection locked="0" hidden="1"/>
    </xf>
    <xf numFmtId="180" fontId="16" fillId="2" borderId="9" xfId="0" applyNumberFormat="1" applyFont="1" applyFill="1" applyBorder="1" applyAlignment="1" applyProtection="1">
      <alignment horizontal="center" vertical="center" shrinkToFit="1"/>
      <protection locked="0" hidden="1"/>
    </xf>
    <xf numFmtId="180" fontId="16" fillId="2" borderId="6" xfId="0" applyNumberFormat="1" applyFont="1" applyFill="1" applyBorder="1" applyAlignment="1" applyProtection="1">
      <alignment horizontal="center" vertical="center" shrinkToFit="1"/>
      <protection locked="0" hidden="1"/>
    </xf>
    <xf numFmtId="0" fontId="2" fillId="6" borderId="1" xfId="0" applyFont="1" applyFill="1" applyBorder="1" applyAlignment="1" applyProtection="1">
      <alignment horizontal="center" vertical="center" wrapText="1"/>
      <protection hidden="1"/>
    </xf>
    <xf numFmtId="0" fontId="2" fillId="6" borderId="6"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left" vertical="center" wrapText="1"/>
      <protection hidden="1"/>
    </xf>
    <xf numFmtId="0" fontId="2" fillId="6" borderId="9" xfId="0" applyFont="1" applyFill="1" applyBorder="1" applyAlignment="1" applyProtection="1">
      <alignment horizontal="left" vertical="center" wrapText="1"/>
      <protection hidden="1"/>
    </xf>
    <xf numFmtId="0" fontId="2" fillId="6" borderId="3" xfId="0" applyFont="1" applyFill="1" applyBorder="1" applyAlignment="1" applyProtection="1">
      <alignment horizontal="center" vertical="center" wrapText="1" shrinkToFit="1"/>
      <protection hidden="1"/>
    </xf>
    <xf numFmtId="0" fontId="2" fillId="6" borderId="10" xfId="0" applyFont="1" applyFill="1" applyBorder="1" applyAlignment="1" applyProtection="1">
      <alignment horizontal="center" vertical="center" wrapText="1" shrinkToFit="1"/>
      <protection hidden="1"/>
    </xf>
    <xf numFmtId="180" fontId="17" fillId="2" borderId="1" xfId="0" applyNumberFormat="1" applyFont="1" applyFill="1" applyBorder="1" applyAlignment="1" applyProtection="1">
      <alignment horizontal="center" vertical="center" shrinkToFit="1"/>
      <protection locked="0" hidden="1"/>
    </xf>
    <xf numFmtId="180" fontId="17" fillId="2" borderId="6" xfId="0" applyNumberFormat="1" applyFont="1" applyFill="1" applyBorder="1" applyAlignment="1" applyProtection="1">
      <alignment horizontal="center" vertical="center" shrinkToFit="1"/>
      <protection locked="0" hidden="1"/>
    </xf>
    <xf numFmtId="180" fontId="17" fillId="2" borderId="9" xfId="0" applyNumberFormat="1" applyFont="1" applyFill="1" applyBorder="1" applyAlignment="1" applyProtection="1">
      <alignment horizontal="center" vertical="center" shrinkToFit="1"/>
      <protection locked="0" hidden="1"/>
    </xf>
    <xf numFmtId="0" fontId="2" fillId="6" borderId="4" xfId="0" applyFont="1" applyFill="1" applyBorder="1" applyAlignment="1" applyProtection="1">
      <alignment horizontal="center" vertical="center" wrapText="1" shrinkToFit="1"/>
      <protection hidden="1"/>
    </xf>
    <xf numFmtId="0" fontId="2" fillId="6" borderId="6" xfId="0" applyFont="1" applyFill="1" applyBorder="1" applyAlignment="1" applyProtection="1">
      <alignment horizontal="center" vertical="center" shrinkToFit="1"/>
      <protection hidden="1"/>
    </xf>
    <xf numFmtId="0" fontId="2" fillId="6" borderId="1" xfId="0" applyFont="1" applyFill="1" applyBorder="1" applyAlignment="1" applyProtection="1">
      <alignment horizontal="center" vertical="center" shrinkToFit="1"/>
      <protection hidden="1"/>
    </xf>
    <xf numFmtId="0" fontId="7" fillId="2" borderId="6" xfId="0" applyFont="1" applyFill="1" applyBorder="1" applyProtection="1">
      <alignment vertical="center"/>
      <protection locked="0" hidden="1"/>
    </xf>
    <xf numFmtId="0" fontId="7" fillId="5" borderId="0" xfId="0" applyFont="1" applyFill="1" applyBorder="1" applyProtection="1">
      <alignment vertical="center"/>
      <protection hidden="1"/>
    </xf>
    <xf numFmtId="0" fontId="7" fillId="2" borderId="11" xfId="0" applyFont="1" applyFill="1" applyBorder="1" applyProtection="1">
      <alignment vertical="center"/>
      <protection locked="0" hidden="1"/>
    </xf>
    <xf numFmtId="0" fontId="7" fillId="2" borderId="0" xfId="0" applyFont="1" applyFill="1" applyBorder="1" applyProtection="1">
      <alignment vertical="center"/>
      <protection locked="0" hidden="1"/>
    </xf>
    <xf numFmtId="0" fontId="7" fillId="2" borderId="12" xfId="0" applyFont="1" applyFill="1" applyBorder="1" applyProtection="1">
      <alignment vertical="center"/>
      <protection locked="0" hidden="1"/>
    </xf>
    <xf numFmtId="0" fontId="19" fillId="5" borderId="0" xfId="0" applyFont="1" applyFill="1" applyAlignment="1" applyProtection="1">
      <alignment horizontal="left" vertical="center"/>
      <protection hidden="1"/>
    </xf>
    <xf numFmtId="0" fontId="7" fillId="5" borderId="0" xfId="0" applyFont="1" applyFill="1" applyBorder="1" applyAlignment="1" applyProtection="1">
      <alignment vertical="center"/>
      <protection hidden="1"/>
    </xf>
    <xf numFmtId="178"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horizontal="center" vertical="center" shrinkToFit="1"/>
      <protection hidden="1"/>
    </xf>
    <xf numFmtId="57" fontId="2" fillId="2" borderId="0" xfId="0" applyNumberFormat="1" applyFont="1" applyFill="1" applyBorder="1" applyAlignment="1" applyProtection="1">
      <alignment horizontal="center" vertical="center" wrapText="1"/>
      <protection locked="0" hidden="1"/>
    </xf>
    <xf numFmtId="180" fontId="20" fillId="2" borderId="0" xfId="0" applyNumberFormat="1" applyFont="1" applyFill="1" applyBorder="1" applyAlignment="1" applyProtection="1">
      <alignment horizontal="center" vertical="center"/>
      <protection locked="0" hidden="1"/>
    </xf>
    <xf numFmtId="0" fontId="20" fillId="2" borderId="0" xfId="0" applyFont="1" applyFill="1" applyBorder="1" applyAlignment="1" applyProtection="1">
      <alignment horizontal="left" vertical="center"/>
      <protection locked="0" hidden="1"/>
    </xf>
    <xf numFmtId="182" fontId="17" fillId="2" borderId="2" xfId="0" applyNumberFormat="1" applyFont="1" applyFill="1" applyBorder="1" applyAlignment="1" applyProtection="1">
      <alignment horizontal="center" vertical="center" wrapText="1" shrinkToFit="1"/>
      <protection locked="0" hidden="1"/>
    </xf>
    <xf numFmtId="0" fontId="2" fillId="2" borderId="6" xfId="0" applyFont="1" applyFill="1" applyBorder="1" applyAlignment="1" applyProtection="1">
      <alignment horizontal="center" vertical="center" wrapText="1"/>
      <protection locked="0" hidden="1"/>
    </xf>
    <xf numFmtId="0" fontId="2" fillId="6" borderId="9" xfId="0" applyFont="1" applyFill="1" applyBorder="1" applyAlignment="1" applyProtection="1">
      <alignment horizontal="center" vertical="center" shrinkToFit="1"/>
      <protection hidden="1"/>
    </xf>
    <xf numFmtId="57" fontId="2" fillId="2" borderId="2" xfId="0" applyNumberFormat="1" applyFont="1" applyFill="1" applyBorder="1" applyAlignment="1" applyProtection="1">
      <alignment horizontal="center" vertical="center" wrapText="1"/>
      <protection locked="0" hidden="1"/>
    </xf>
    <xf numFmtId="0" fontId="7" fillId="7" borderId="2" xfId="0" applyFont="1" applyFill="1" applyBorder="1" applyAlignment="1" applyProtection="1">
      <alignment vertical="center" shrinkToFit="1"/>
      <protection locked="0" hidden="1"/>
    </xf>
    <xf numFmtId="0" fontId="2" fillId="6" borderId="6" xfId="0" applyFont="1" applyFill="1" applyBorder="1" applyAlignment="1" applyProtection="1">
      <alignment horizontal="left" vertical="center" shrinkToFit="1"/>
      <protection hidden="1"/>
    </xf>
    <xf numFmtId="0" fontId="7" fillId="7" borderId="2" xfId="0" applyFont="1" applyFill="1" applyBorder="1" applyAlignment="1" applyProtection="1">
      <alignment horizontal="center" vertical="center"/>
      <protection locked="0" hidden="1"/>
    </xf>
    <xf numFmtId="176" fontId="17" fillId="2" borderId="2"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right" vertical="center" shrinkToFit="1"/>
      <protection hidden="1"/>
    </xf>
    <xf numFmtId="49" fontId="2" fillId="2" borderId="1" xfId="0" applyNumberFormat="1" applyFont="1" applyFill="1" applyBorder="1" applyAlignment="1" applyProtection="1">
      <alignment horizontal="center" vertical="center" wrapText="1"/>
      <protection locked="0" hidden="1"/>
    </xf>
    <xf numFmtId="49" fontId="2" fillId="2" borderId="6" xfId="0" applyNumberFormat="1" applyFont="1" applyFill="1" applyBorder="1" applyAlignment="1" applyProtection="1">
      <alignment horizontal="center" vertical="center" wrapText="1"/>
      <protection locked="0" hidden="1"/>
    </xf>
    <xf numFmtId="180" fontId="16" fillId="2" borderId="2" xfId="0" applyNumberFormat="1" applyFont="1" applyFill="1" applyBorder="1" applyAlignment="1" applyProtection="1">
      <alignment vertical="center" shrinkToFit="1"/>
      <protection locked="0" hidden="1"/>
    </xf>
    <xf numFmtId="0" fontId="2" fillId="6" borderId="6" xfId="0" applyFont="1" applyFill="1" applyBorder="1" applyAlignment="1" applyProtection="1">
      <alignment vertical="center" shrinkToFit="1"/>
      <protection hidden="1"/>
    </xf>
    <xf numFmtId="0" fontId="2" fillId="6" borderId="6" xfId="0" applyFont="1" applyFill="1" applyBorder="1" applyAlignment="1" applyProtection="1">
      <alignment horizontal="left" vertical="center" wrapText="1"/>
      <protection hidden="1"/>
    </xf>
    <xf numFmtId="0" fontId="2" fillId="6" borderId="3" xfId="0" applyFont="1" applyFill="1" applyBorder="1" applyAlignment="1" applyProtection="1">
      <alignment horizontal="center" vertical="center" shrinkToFit="1"/>
      <protection hidden="1"/>
    </xf>
    <xf numFmtId="0" fontId="7" fillId="2" borderId="3" xfId="0" applyFont="1" applyFill="1" applyBorder="1" applyAlignment="1" applyProtection="1">
      <alignment horizontal="center" vertical="center"/>
      <protection locked="0" hidden="1"/>
    </xf>
    <xf numFmtId="0" fontId="2" fillId="6" borderId="4" xfId="0" applyFont="1" applyFill="1" applyBorder="1" applyAlignment="1" applyProtection="1">
      <alignment horizontal="center" vertical="center" shrinkToFit="1"/>
      <protection hidden="1"/>
    </xf>
    <xf numFmtId="0" fontId="7" fillId="2" borderId="4" xfId="0" applyFont="1" applyFill="1" applyBorder="1" applyAlignment="1" applyProtection="1">
      <alignment horizontal="center" vertical="center"/>
      <protection locked="0" hidden="1"/>
    </xf>
    <xf numFmtId="0" fontId="2" fillId="6" borderId="9" xfId="0" applyFont="1" applyFill="1" applyBorder="1" applyAlignment="1" applyProtection="1">
      <alignment horizontal="center" vertical="center" wrapText="1" shrinkToFit="1"/>
      <protection hidden="1"/>
    </xf>
    <xf numFmtId="0" fontId="7" fillId="2" borderId="2" xfId="0" applyFont="1" applyFill="1" applyBorder="1" applyAlignment="1" applyProtection="1">
      <alignment horizontal="center" vertical="center" shrinkToFit="1"/>
      <protection locked="0" hidden="1"/>
    </xf>
    <xf numFmtId="0" fontId="7" fillId="2" borderId="2" xfId="0" applyFont="1" applyFill="1" applyBorder="1" applyAlignment="1" applyProtection="1">
      <alignment vertical="center" shrinkToFit="1"/>
      <protection locked="0" hidden="1"/>
    </xf>
    <xf numFmtId="0" fontId="7" fillId="7" borderId="1" xfId="0" applyFont="1" applyFill="1" applyBorder="1" applyAlignment="1" applyProtection="1">
      <alignment horizontal="center" vertical="center" shrinkToFit="1"/>
      <protection locked="0" hidden="1"/>
    </xf>
    <xf numFmtId="0" fontId="7" fillId="7" borderId="6" xfId="0" applyFont="1" applyFill="1" applyBorder="1" applyAlignment="1" applyProtection="1">
      <alignment horizontal="center" vertical="center" shrinkToFit="1"/>
      <protection locked="0" hidden="1"/>
    </xf>
    <xf numFmtId="0" fontId="7" fillId="7" borderId="1" xfId="0" applyFont="1" applyFill="1" applyBorder="1" applyAlignment="1" applyProtection="1">
      <alignment horizontal="center" vertical="center"/>
      <protection locked="0" hidden="1"/>
    </xf>
    <xf numFmtId="0" fontId="7" fillId="7" borderId="6" xfId="0" applyFont="1" applyFill="1" applyBorder="1" applyAlignment="1" applyProtection="1">
      <alignment horizontal="center" vertical="center"/>
      <protection locked="0" hidden="1"/>
    </xf>
    <xf numFmtId="0" fontId="7" fillId="7" borderId="5" xfId="0" applyFont="1" applyFill="1" applyBorder="1" applyAlignment="1" applyProtection="1">
      <alignment horizontal="center" vertical="center"/>
      <protection locked="0" hidden="1"/>
    </xf>
    <xf numFmtId="0" fontId="7" fillId="7" borderId="11" xfId="0" applyFont="1" applyFill="1" applyBorder="1" applyAlignment="1" applyProtection="1">
      <alignment horizontal="center" vertical="center"/>
      <protection locked="0" hidden="1"/>
    </xf>
    <xf numFmtId="0" fontId="7" fillId="7" borderId="7" xfId="0" applyFont="1" applyFill="1" applyBorder="1" applyAlignment="1" applyProtection="1">
      <alignment horizontal="center" vertical="center"/>
      <protection locked="0" hidden="1"/>
    </xf>
    <xf numFmtId="0" fontId="7" fillId="7" borderId="12" xfId="0" applyFont="1" applyFill="1" applyBorder="1" applyAlignment="1" applyProtection="1">
      <alignment horizontal="center" vertical="center"/>
      <protection locked="0" hidden="1"/>
    </xf>
    <xf numFmtId="0" fontId="0" fillId="3" borderId="0" xfId="0" applyFill="1" applyBorder="1" applyProtection="1">
      <alignment vertical="center"/>
      <protection hidden="1"/>
    </xf>
    <xf numFmtId="0" fontId="2" fillId="6" borderId="1" xfId="0" applyFont="1" applyFill="1" applyBorder="1" applyAlignment="1" applyProtection="1">
      <alignment horizontal="left" vertical="center" wrapText="1" shrinkToFit="1"/>
      <protection hidden="1"/>
    </xf>
    <xf numFmtId="0" fontId="2" fillId="6" borderId="9" xfId="0" applyFont="1" applyFill="1" applyBorder="1" applyAlignment="1" applyProtection="1">
      <alignment horizontal="left" vertical="center" wrapText="1" shrinkToFit="1"/>
      <protection hidden="1"/>
    </xf>
    <xf numFmtId="0" fontId="2" fillId="6" borderId="2" xfId="0" applyFont="1" applyFill="1" applyBorder="1" applyAlignment="1" applyProtection="1">
      <alignment vertical="center" shrinkToFit="1"/>
      <protection hidden="1"/>
    </xf>
    <xf numFmtId="49" fontId="5" fillId="0" borderId="2" xfId="0" applyNumberFormat="1" applyFont="1" applyFill="1" applyBorder="1" applyAlignment="1" applyProtection="1">
      <alignment horizontal="center" vertical="center" shrinkToFit="1"/>
      <protection locked="0" hidden="1"/>
    </xf>
    <xf numFmtId="49" fontId="21" fillId="0" borderId="2" xfId="0" applyNumberFormat="1" applyFont="1" applyFill="1" applyBorder="1" applyAlignment="1" applyProtection="1">
      <alignment horizontal="center" vertical="center" shrinkToFit="1"/>
      <protection locked="0" hidden="1"/>
    </xf>
    <xf numFmtId="49" fontId="21" fillId="6" borderId="1" xfId="0" applyNumberFormat="1" applyFont="1" applyFill="1" applyBorder="1" applyAlignment="1" applyProtection="1">
      <alignment horizontal="center" vertical="center" shrinkToFit="1"/>
      <protection hidden="1"/>
    </xf>
    <xf numFmtId="49" fontId="21" fillId="6" borderId="9" xfId="0" applyNumberFormat="1" applyFont="1" applyFill="1" applyBorder="1" applyAlignment="1" applyProtection="1">
      <alignment horizontal="center" vertical="center" shrinkToFit="1"/>
      <protection hidden="1"/>
    </xf>
    <xf numFmtId="0" fontId="18" fillId="6" borderId="2" xfId="0" applyFont="1" applyFill="1" applyBorder="1" applyAlignment="1" applyProtection="1">
      <alignment horizontal="left" vertical="center" wrapText="1"/>
      <protection locked="0" hidden="1"/>
    </xf>
    <xf numFmtId="49" fontId="21" fillId="0" borderId="2" xfId="0" applyNumberFormat="1" applyFont="1" applyFill="1" applyBorder="1" applyAlignment="1" applyProtection="1">
      <alignment vertical="center" shrinkToFit="1"/>
      <protection locked="0" hidden="1"/>
    </xf>
    <xf numFmtId="49" fontId="5" fillId="0" borderId="9" xfId="0" applyNumberFormat="1" applyFont="1" applyFill="1" applyBorder="1" applyAlignment="1" applyProtection="1">
      <alignment horizontal="center" vertical="center" wrapText="1" shrinkToFit="1"/>
      <protection locked="0" hidden="1"/>
    </xf>
    <xf numFmtId="49" fontId="5" fillId="0" borderId="9" xfId="0" applyNumberFormat="1" applyFont="1" applyFill="1" applyBorder="1" applyAlignment="1" applyProtection="1">
      <alignment horizontal="center" vertical="center" shrinkToFit="1"/>
      <protection locked="0" hidden="1"/>
    </xf>
    <xf numFmtId="49" fontId="5" fillId="0" borderId="6" xfId="0" applyNumberFormat="1" applyFont="1" applyFill="1" applyBorder="1" applyAlignment="1" applyProtection="1">
      <alignment horizontal="center" vertical="center" shrinkToFit="1"/>
      <protection locked="0" hidden="1"/>
    </xf>
    <xf numFmtId="49" fontId="5" fillId="0" borderId="1" xfId="0" applyNumberFormat="1" applyFont="1" applyFill="1" applyBorder="1" applyAlignment="1" applyProtection="1">
      <alignment horizontal="center" vertical="center" shrinkToFit="1"/>
      <protection locked="0" hidden="1"/>
    </xf>
    <xf numFmtId="49" fontId="21" fillId="0" borderId="1"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wrapText="1"/>
      <protection hidden="1"/>
    </xf>
    <xf numFmtId="0" fontId="0" fillId="0" borderId="2" xfId="0" applyBorder="1" applyAlignment="1" applyProtection="1">
      <alignment horizontal="center" vertical="center" shrinkToFit="1"/>
      <protection locked="0" hidden="1"/>
    </xf>
    <xf numFmtId="49" fontId="21" fillId="0" borderId="9" xfId="0" applyNumberFormat="1" applyFont="1" applyFill="1" applyBorder="1" applyAlignment="1" applyProtection="1">
      <alignment horizontal="center" vertical="center" shrinkToFit="1"/>
      <protection locked="0" hidden="1"/>
    </xf>
    <xf numFmtId="49" fontId="21" fillId="0" borderId="6" xfId="0" applyNumberFormat="1" applyFont="1" applyFill="1" applyBorder="1" applyAlignment="1" applyProtection="1">
      <alignment horizontal="center" vertical="center" shrinkToFit="1"/>
      <protection locked="0" hidden="1"/>
    </xf>
    <xf numFmtId="49" fontId="21" fillId="0" borderId="6" xfId="0" applyNumberFormat="1" applyFont="1" applyFill="1" applyBorder="1" applyAlignment="1" applyProtection="1">
      <alignment vertical="center" shrinkToFit="1"/>
      <protection locked="0" hidden="1"/>
    </xf>
    <xf numFmtId="180" fontId="5" fillId="0" borderId="2" xfId="0" applyNumberFormat="1" applyFont="1" applyBorder="1" applyAlignment="1" applyProtection="1">
      <alignment horizontal="center" vertical="center" shrinkToFit="1"/>
      <protection locked="0" hidden="1"/>
    </xf>
    <xf numFmtId="0" fontId="2" fillId="6" borderId="9" xfId="0" applyFont="1" applyFill="1" applyBorder="1" applyAlignment="1" applyProtection="1">
      <alignment horizontal="center" vertical="center" wrapText="1"/>
      <protection hidden="1"/>
    </xf>
    <xf numFmtId="180" fontId="5" fillId="0" borderId="1" xfId="0" applyNumberFormat="1" applyFont="1" applyBorder="1" applyAlignment="1" applyProtection="1">
      <alignment horizontal="center" vertical="center" shrinkToFit="1"/>
      <protection locked="0" hidden="1"/>
    </xf>
    <xf numFmtId="180" fontId="5" fillId="0" borderId="6" xfId="0" applyNumberFormat="1" applyFont="1" applyBorder="1" applyAlignment="1" applyProtection="1">
      <alignment horizontal="center" vertical="center" shrinkToFit="1"/>
      <protection locked="0" hidden="1"/>
    </xf>
    <xf numFmtId="49" fontId="5" fillId="0" borderId="2" xfId="0" applyNumberFormat="1" applyFont="1" applyFill="1" applyBorder="1" applyAlignment="1" applyProtection="1">
      <alignment vertical="center" shrinkToFit="1"/>
      <protection locked="0" hidden="1"/>
    </xf>
    <xf numFmtId="0" fontId="2" fillId="6" borderId="6" xfId="0" applyFont="1" applyFill="1" applyBorder="1" applyAlignment="1" applyProtection="1">
      <alignment horizontal="left" vertical="center" wrapText="1" shrinkToFit="1"/>
      <protection hidden="1"/>
    </xf>
    <xf numFmtId="183" fontId="21" fillId="0" borderId="2" xfId="0" applyNumberFormat="1" applyFont="1" applyFill="1" applyBorder="1" applyAlignment="1" applyProtection="1">
      <alignment horizontal="center" vertical="center" shrinkToFit="1"/>
      <protection locked="0" hidden="1"/>
    </xf>
    <xf numFmtId="177" fontId="5" fillId="6" borderId="2" xfId="0" applyNumberFormat="1" applyFont="1" applyFill="1" applyBorder="1" applyAlignment="1" applyProtection="1">
      <alignment horizontal="center" vertical="center" shrinkToFit="1"/>
      <protection hidden="1"/>
    </xf>
    <xf numFmtId="184" fontId="7" fillId="2" borderId="2" xfId="0" applyNumberFormat="1" applyFont="1" applyFill="1" applyBorder="1" applyAlignment="1" applyProtection="1">
      <alignment horizontal="center" vertical="center"/>
      <protection locked="0" hidden="1"/>
    </xf>
    <xf numFmtId="49" fontId="21" fillId="6" borderId="6" xfId="0" applyNumberFormat="1" applyFont="1" applyFill="1" applyBorder="1" applyAlignment="1" applyProtection="1">
      <alignment horizontal="center" vertical="center" shrinkToFit="1"/>
      <protection hidden="1"/>
    </xf>
    <xf numFmtId="185" fontId="21" fillId="6" borderId="2" xfId="0" applyNumberFormat="1" applyFont="1" applyFill="1" applyBorder="1" applyAlignment="1" applyProtection="1">
      <alignment horizontal="center" vertical="center" shrinkToFit="1"/>
      <protection hidden="1"/>
    </xf>
    <xf numFmtId="186" fontId="21" fillId="6" borderId="2" xfId="0" applyNumberFormat="1" applyFont="1" applyFill="1" applyBorder="1" applyAlignment="1" applyProtection="1">
      <alignment horizontal="center" vertical="center" shrinkToFit="1"/>
      <protection hidden="1"/>
    </xf>
    <xf numFmtId="0" fontId="21" fillId="0" borderId="2" xfId="0" applyNumberFormat="1" applyFont="1" applyFill="1" applyBorder="1" applyAlignment="1" applyProtection="1">
      <alignment horizontal="center" vertical="center" shrinkToFit="1"/>
      <protection locked="0" hidden="1"/>
    </xf>
    <xf numFmtId="0" fontId="21" fillId="0" borderId="6" xfId="0" applyNumberFormat="1" applyFont="1" applyFill="1" applyBorder="1" applyAlignment="1" applyProtection="1">
      <alignment horizontal="center" vertical="center" shrinkToFit="1"/>
      <protection locked="0" hidden="1"/>
    </xf>
    <xf numFmtId="186" fontId="5" fillId="6" borderId="2" xfId="0" applyNumberFormat="1" applyFont="1" applyFill="1" applyBorder="1" applyAlignment="1" applyProtection="1">
      <alignment horizontal="center" vertical="center" shrinkToFit="1"/>
      <protection hidden="1"/>
    </xf>
    <xf numFmtId="180" fontId="21" fillId="0" borderId="2" xfId="0" applyNumberFormat="1" applyFont="1" applyBorder="1" applyAlignment="1" applyProtection="1">
      <alignment horizontal="center" vertical="center" shrinkToFit="1"/>
      <protection locked="0" hidden="1"/>
    </xf>
    <xf numFmtId="0" fontId="3" fillId="6" borderId="2" xfId="0" applyFont="1" applyFill="1" applyBorder="1" applyAlignment="1" applyProtection="1">
      <alignment horizontal="center" vertical="center" wrapText="1" shrinkToFit="1"/>
      <protection hidden="1"/>
    </xf>
    <xf numFmtId="176" fontId="21" fillId="0" borderId="2" xfId="0" applyNumberFormat="1" applyFont="1" applyFill="1" applyBorder="1" applyAlignment="1" applyProtection="1">
      <alignment horizontal="center" vertical="center" shrinkToFit="1"/>
      <protection locked="0" hidden="1"/>
    </xf>
    <xf numFmtId="186" fontId="21" fillId="0" borderId="2" xfId="0" applyNumberFormat="1" applyFont="1" applyFill="1" applyBorder="1" applyAlignment="1" applyProtection="1">
      <alignment horizontal="center" vertical="center" shrinkToFit="1"/>
      <protection locked="0" hidden="1"/>
    </xf>
    <xf numFmtId="0" fontId="7" fillId="8" borderId="2" xfId="0" applyFont="1" applyFill="1" applyBorder="1" applyAlignment="1" applyProtection="1">
      <alignment horizontal="center" vertical="center"/>
      <protection locked="0" hidden="1"/>
    </xf>
    <xf numFmtId="177" fontId="5" fillId="0" borderId="2" xfId="0" applyNumberFormat="1" applyFont="1" applyBorder="1" applyAlignment="1" applyProtection="1">
      <alignment horizontal="center" vertical="center" shrinkToFit="1"/>
      <protection locked="0" hidden="1"/>
    </xf>
    <xf numFmtId="177" fontId="7" fillId="2" borderId="2" xfId="0" applyNumberFormat="1" applyFont="1" applyFill="1" applyBorder="1" applyAlignment="1" applyProtection="1">
      <alignment horizontal="center" vertical="center"/>
      <protection locked="0" hidden="1"/>
    </xf>
    <xf numFmtId="177" fontId="7" fillId="8" borderId="2" xfId="0" applyNumberFormat="1" applyFont="1" applyFill="1" applyBorder="1" applyAlignment="1" applyProtection="1">
      <alignment horizontal="center" vertical="center"/>
      <protection locked="0" hidden="1"/>
    </xf>
    <xf numFmtId="183" fontId="5" fillId="0" borderId="2" xfId="0" applyNumberFormat="1" applyFont="1" applyFill="1" applyBorder="1" applyAlignment="1" applyProtection="1">
      <alignment horizontal="center" vertical="center" shrinkToFit="1"/>
      <protection locked="0" hidden="1"/>
    </xf>
    <xf numFmtId="183" fontId="21" fillId="0" borderId="2" xfId="0" applyNumberFormat="1" applyFont="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horizontal="center" vertical="center" shrinkToFit="1"/>
      <protection locked="0" hidden="1"/>
    </xf>
    <xf numFmtId="0" fontId="7" fillId="2" borderId="2" xfId="0" applyFont="1" applyFill="1" applyBorder="1" applyAlignment="1" applyProtection="1">
      <alignment vertical="center" wrapText="1"/>
      <protection locked="0" hidden="1"/>
    </xf>
    <xf numFmtId="0" fontId="7" fillId="2" borderId="1" xfId="0" applyFont="1" applyFill="1" applyBorder="1" applyAlignment="1" applyProtection="1">
      <alignment horizontal="center" vertical="center"/>
      <protection locked="0" hidden="1"/>
    </xf>
    <xf numFmtId="0" fontId="7" fillId="2" borderId="6" xfId="0" applyFont="1" applyFill="1" applyBorder="1" applyAlignment="1" applyProtection="1">
      <alignment horizontal="center" vertical="center"/>
      <protection locked="0" hidden="1"/>
    </xf>
    <xf numFmtId="0" fontId="7" fillId="7" borderId="2" xfId="0" applyFont="1" applyFill="1" applyBorder="1" applyAlignment="1" applyProtection="1">
      <alignment horizontal="center" vertical="center" shrinkToFit="1"/>
      <protection locked="0" hidden="1"/>
    </xf>
    <xf numFmtId="0" fontId="7" fillId="0" borderId="2" xfId="0" applyFont="1" applyFill="1" applyBorder="1" applyAlignment="1" applyProtection="1">
      <alignment horizontal="center" vertical="center" shrinkToFit="1"/>
      <protection locked="0" hidden="1"/>
    </xf>
    <xf numFmtId="180" fontId="7" fillId="2" borderId="2" xfId="0" applyNumberFormat="1" applyFont="1" applyFill="1" applyBorder="1" applyAlignment="1" applyProtection="1">
      <alignment horizontal="center" vertical="center"/>
      <protection locked="0" hidden="1"/>
    </xf>
    <xf numFmtId="180" fontId="7" fillId="0" borderId="2" xfId="0" applyNumberFormat="1" applyFont="1" applyFill="1" applyBorder="1" applyAlignment="1" applyProtection="1">
      <alignment horizontal="center" vertical="center"/>
      <protection locked="0" hidden="1"/>
    </xf>
    <xf numFmtId="177" fontId="7" fillId="7" borderId="2" xfId="0" applyNumberFormat="1" applyFont="1" applyFill="1" applyBorder="1" applyAlignment="1" applyProtection="1">
      <alignment horizontal="center" vertical="center"/>
      <protection locked="0" hidden="1"/>
    </xf>
    <xf numFmtId="180" fontId="7" fillId="7" borderId="2" xfId="0" applyNumberFormat="1" applyFont="1" applyFill="1" applyBorder="1" applyAlignment="1" applyProtection="1">
      <alignment horizontal="center" vertical="center"/>
      <protection locked="0" hidden="1"/>
    </xf>
    <xf numFmtId="0" fontId="7" fillId="0" borderId="1" xfId="0" applyFont="1" applyFill="1" applyBorder="1" applyAlignment="1" applyProtection="1">
      <alignment horizontal="center" vertical="center"/>
      <protection locked="0" hidden="1"/>
    </xf>
    <xf numFmtId="0" fontId="7" fillId="0" borderId="6" xfId="0" applyFont="1" applyFill="1" applyBorder="1" applyAlignment="1" applyProtection="1">
      <alignment horizontal="center" vertical="center"/>
      <protection locked="0" hidden="1"/>
    </xf>
    <xf numFmtId="0" fontId="7" fillId="0" borderId="1" xfId="0" applyFont="1" applyFill="1" applyBorder="1" applyAlignment="1" applyProtection="1">
      <alignment horizontal="center" vertical="center" shrinkToFit="1"/>
      <protection locked="0" hidden="1"/>
    </xf>
    <xf numFmtId="0" fontId="7" fillId="0" borderId="6" xfId="0" applyFont="1" applyFill="1" applyBorder="1" applyAlignment="1" applyProtection="1">
      <alignment horizontal="center" vertical="center" shrinkToFit="1"/>
      <protection locked="0" hidden="1"/>
    </xf>
    <xf numFmtId="177" fontId="7" fillId="2" borderId="1" xfId="0" applyNumberFormat="1" applyFont="1" applyFill="1" applyBorder="1" applyAlignment="1" applyProtection="1">
      <alignment horizontal="center" vertical="center"/>
      <protection locked="0" hidden="1"/>
    </xf>
    <xf numFmtId="0" fontId="18" fillId="6" borderId="2" xfId="0" applyFont="1" applyFill="1" applyBorder="1" applyAlignment="1" applyProtection="1">
      <alignment horizontal="left" vertical="center" wrapText="1"/>
      <protection hidden="1"/>
    </xf>
    <xf numFmtId="0" fontId="0" fillId="0" borderId="2" xfId="0" applyBorder="1" applyAlignment="1" applyProtection="1">
      <alignment horizontal="center" vertical="center" wrapText="1"/>
    </xf>
    <xf numFmtId="0" fontId="0" fillId="0" borderId="2" xfId="0" applyBorder="1" applyAlignment="1" applyProtection="1">
      <alignment vertical="center"/>
    </xf>
    <xf numFmtId="0" fontId="2" fillId="6" borderId="2" xfId="0" applyFont="1" applyFill="1" applyBorder="1" applyAlignment="1" applyProtection="1">
      <alignment horizontal="center" vertical="center"/>
      <protection hidden="1"/>
    </xf>
    <xf numFmtId="0" fontId="0" fillId="0" borderId="2" xfId="0" applyBorder="1" applyAlignment="1" applyProtection="1">
      <alignment horizontal="center" vertical="center"/>
    </xf>
    <xf numFmtId="0" fontId="22" fillId="6" borderId="3"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shrinkToFit="1"/>
      <protection hidden="1"/>
    </xf>
    <xf numFmtId="177" fontId="0" fillId="6" borderId="9" xfId="0" applyNumberFormat="1" applyFont="1" applyFill="1" applyBorder="1" applyAlignment="1" applyProtection="1">
      <alignment horizontal="center" vertical="center" shrinkToFit="1"/>
      <protection hidden="1"/>
    </xf>
    <xf numFmtId="177" fontId="0" fillId="6" borderId="6" xfId="0" applyNumberFormat="1" applyFont="1" applyFill="1" applyBorder="1" applyAlignment="1" applyProtection="1">
      <alignment horizontal="center" vertical="center" shrinkToFit="1"/>
      <protection hidden="1"/>
    </xf>
    <xf numFmtId="177" fontId="0" fillId="6" borderId="1" xfId="0" applyNumberFormat="1" applyFont="1" applyFill="1" applyBorder="1" applyAlignment="1" applyProtection="1">
      <alignment horizontal="center" vertical="center" wrapText="1" shrinkToFit="1"/>
      <protection hidden="1"/>
    </xf>
    <xf numFmtId="177" fontId="0" fillId="6" borderId="6" xfId="0" applyNumberFormat="1" applyFont="1" applyFill="1" applyBorder="1" applyAlignment="1" applyProtection="1">
      <alignment horizontal="center" vertical="center" wrapText="1" shrinkToFit="1"/>
      <protection hidden="1"/>
    </xf>
    <xf numFmtId="177" fontId="0" fillId="6" borderId="2" xfId="0" applyNumberFormat="1"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protection hidden="1"/>
    </xf>
    <xf numFmtId="177" fontId="0" fillId="6" borderId="9" xfId="0" applyNumberFormat="1" applyFont="1" applyFill="1" applyBorder="1" applyAlignment="1" applyProtection="1">
      <alignment horizontal="center" vertical="center"/>
      <protection hidden="1"/>
    </xf>
    <xf numFmtId="177" fontId="0" fillId="6" borderId="6" xfId="0" applyNumberFormat="1" applyFont="1" applyFill="1" applyBorder="1" applyAlignment="1" applyProtection="1">
      <alignment horizontal="center" vertical="center"/>
      <protection hidden="1"/>
    </xf>
    <xf numFmtId="177" fontId="0" fillId="6" borderId="2" xfId="0" applyNumberFormat="1" applyFont="1" applyFill="1" applyBorder="1" applyAlignment="1" applyProtection="1">
      <alignment horizontal="center" vertical="center"/>
      <protection hidden="1"/>
    </xf>
    <xf numFmtId="0" fontId="22" fillId="6" borderId="3"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wrapText="1"/>
      <protection hidden="1"/>
    </xf>
    <xf numFmtId="0" fontId="23" fillId="6" borderId="9" xfId="0" applyFont="1" applyFill="1" applyBorder="1" applyAlignment="1" applyProtection="1">
      <alignment horizontal="center" vertical="center" wrapText="1"/>
      <protection hidden="1"/>
    </xf>
    <xf numFmtId="0" fontId="23" fillId="6" borderId="6" xfId="0" applyFont="1" applyFill="1" applyBorder="1" applyAlignment="1" applyProtection="1">
      <alignment vertical="center" wrapText="1"/>
      <protection hidden="1"/>
    </xf>
    <xf numFmtId="0" fontId="22" fillId="6" borderId="10"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shrinkToFit="1"/>
      <protection hidden="1"/>
    </xf>
    <xf numFmtId="0" fontId="23" fillId="6" borderId="9" xfId="0" applyFont="1" applyFill="1" applyBorder="1" applyAlignment="1" applyProtection="1">
      <alignment horizontal="center" vertical="center" shrinkToFit="1"/>
      <protection hidden="1"/>
    </xf>
    <xf numFmtId="0" fontId="23" fillId="6" borderId="6" xfId="0" applyFont="1" applyFill="1" applyBorder="1" applyAlignment="1" applyProtection="1">
      <alignment horizontal="center" vertical="center" shrinkToFit="1"/>
      <protection hidden="1"/>
    </xf>
    <xf numFmtId="0" fontId="23" fillId="6" borderId="1" xfId="0" applyFont="1" applyFill="1" applyBorder="1" applyAlignment="1" applyProtection="1">
      <alignment horizontal="center" vertical="center" wrapText="1" shrinkToFit="1"/>
      <protection hidden="1"/>
    </xf>
    <xf numFmtId="0" fontId="23" fillId="6" borderId="9" xfId="0" applyFont="1" applyFill="1" applyBorder="1" applyAlignment="1" applyProtection="1">
      <alignment horizontal="center" vertical="center" wrapText="1" shrinkToFit="1"/>
      <protection hidden="1"/>
    </xf>
    <xf numFmtId="0" fontId="22" fillId="6" borderId="4"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horizontal="center" vertical="center" wrapText="1"/>
      <protection hidden="1"/>
    </xf>
    <xf numFmtId="177" fontId="23" fillId="6" borderId="1" xfId="0" applyNumberFormat="1" applyFont="1" applyFill="1" applyBorder="1" applyAlignment="1" applyProtection="1">
      <alignment horizontal="center" vertical="center"/>
      <protection hidden="1"/>
    </xf>
    <xf numFmtId="177" fontId="23" fillId="6" borderId="9" xfId="0" applyNumberFormat="1" applyFont="1" applyFill="1" applyBorder="1" applyAlignment="1" applyProtection="1">
      <alignment horizontal="center" vertical="center"/>
      <protection hidden="1"/>
    </xf>
    <xf numFmtId="177" fontId="23" fillId="6" borderId="6" xfId="0" applyNumberFormat="1" applyFont="1" applyFill="1" applyBorder="1" applyAlignment="1" applyProtection="1">
      <alignment horizontal="center" vertical="center"/>
      <protection hidden="1"/>
    </xf>
    <xf numFmtId="177" fontId="23" fillId="6" borderId="1" xfId="0" applyNumberFormat="1" applyFont="1" applyFill="1" applyBorder="1" applyAlignment="1" applyProtection="1">
      <alignment horizontal="center" vertical="center" wrapText="1"/>
      <protection hidden="1"/>
    </xf>
    <xf numFmtId="177" fontId="23" fillId="6" borderId="6" xfId="0" applyNumberFormat="1" applyFont="1" applyFill="1" applyBorder="1" applyAlignment="1" applyProtection="1">
      <alignment horizontal="center" vertical="center" wrapText="1"/>
      <protection hidden="1"/>
    </xf>
    <xf numFmtId="0" fontId="23" fillId="6" borderId="6" xfId="0" applyFont="1" applyFill="1" applyBorder="1" applyAlignment="1" applyProtection="1">
      <alignment horizontal="center" vertical="center" wrapText="1" shrinkToFit="1"/>
      <protection hidden="1"/>
    </xf>
    <xf numFmtId="177" fontId="23" fillId="6" borderId="1" xfId="0" applyNumberFormat="1" applyFont="1" applyFill="1" applyBorder="1" applyAlignment="1" applyProtection="1">
      <alignment horizontal="center" vertical="center" shrinkToFit="1"/>
      <protection hidden="1"/>
    </xf>
    <xf numFmtId="177" fontId="23" fillId="6" borderId="6" xfId="0" applyNumberFormat="1" applyFont="1" applyFill="1" applyBorder="1" applyAlignment="1" applyProtection="1">
      <alignment horizontal="center" vertical="center" shrinkToFit="1"/>
      <protection hidden="1"/>
    </xf>
    <xf numFmtId="177" fontId="23" fillId="6" borderId="9" xfId="0" applyNumberFormat="1" applyFont="1" applyFill="1" applyBorder="1" applyAlignment="1" applyProtection="1">
      <alignment horizontal="center" vertical="center" shrinkToFit="1"/>
      <protection hidden="1"/>
    </xf>
    <xf numFmtId="0" fontId="22" fillId="6" borderId="2" xfId="0" applyFont="1" applyFill="1" applyBorder="1" applyAlignment="1" applyProtection="1">
      <alignment horizontal="center" vertical="center" wrapText="1" shrinkToFit="1"/>
      <protection hidden="1"/>
    </xf>
    <xf numFmtId="177" fontId="22" fillId="6" borderId="1" xfId="0" applyNumberFormat="1" applyFont="1" applyFill="1" applyBorder="1" applyAlignment="1" applyProtection="1">
      <alignment horizontal="center" vertical="center" wrapText="1" shrinkToFit="1"/>
      <protection hidden="1"/>
    </xf>
    <xf numFmtId="177" fontId="22" fillId="6" borderId="6" xfId="0" applyNumberFormat="1" applyFont="1" applyFill="1" applyBorder="1" applyAlignment="1" applyProtection="1">
      <alignment horizontal="center" vertical="center" shrinkToFit="1"/>
      <protection hidden="1"/>
    </xf>
    <xf numFmtId="177" fontId="22" fillId="6" borderId="1" xfId="0" applyNumberFormat="1" applyFont="1" applyFill="1" applyBorder="1" applyAlignment="1" applyProtection="1">
      <alignment horizontal="center" vertical="center" shrinkToFit="1"/>
      <protection hidden="1"/>
    </xf>
    <xf numFmtId="0" fontId="18" fillId="6" borderId="1" xfId="0" applyFont="1" applyFill="1" applyBorder="1" applyAlignment="1" applyProtection="1">
      <alignment horizontal="center" vertical="center"/>
      <protection hidden="1"/>
    </xf>
    <xf numFmtId="0" fontId="18" fillId="6" borderId="9" xfId="0" applyFont="1" applyFill="1" applyBorder="1" applyAlignment="1" applyProtection="1">
      <alignment horizontal="center" vertical="center"/>
      <protection hidden="1"/>
    </xf>
    <xf numFmtId="0" fontId="18" fillId="6" borderId="6" xfId="0" applyFont="1" applyFill="1" applyBorder="1" applyAlignment="1" applyProtection="1">
      <alignment horizontal="center" vertical="center"/>
      <protection hidden="1"/>
    </xf>
    <xf numFmtId="0" fontId="24" fillId="6" borderId="2" xfId="0" applyFont="1" applyFill="1" applyBorder="1" applyAlignment="1" applyProtection="1">
      <alignment horizontal="left" vertical="center" wrapText="1"/>
      <protection hidden="1"/>
    </xf>
    <xf numFmtId="186" fontId="25" fillId="6" borderId="1" xfId="0" applyNumberFormat="1" applyFont="1" applyFill="1" applyBorder="1" applyAlignment="1" applyProtection="1">
      <alignment horizontal="center" vertical="center"/>
      <protection hidden="1"/>
    </xf>
    <xf numFmtId="186" fontId="25" fillId="6" borderId="9" xfId="0" applyNumberFormat="1" applyFont="1" applyFill="1" applyBorder="1" applyAlignment="1" applyProtection="1">
      <alignment horizontal="center" vertical="center"/>
      <protection hidden="1"/>
    </xf>
    <xf numFmtId="186" fontId="25" fillId="6" borderId="6" xfId="0" applyNumberFormat="1" applyFont="1" applyFill="1" applyBorder="1" applyAlignment="1" applyProtection="1">
      <alignment horizontal="center" vertical="center"/>
      <protection hidden="1"/>
    </xf>
    <xf numFmtId="186" fontId="20" fillId="6" borderId="1" xfId="0" applyNumberFormat="1" applyFont="1" applyFill="1" applyBorder="1" applyAlignment="1" applyProtection="1">
      <alignment horizontal="center" vertical="center"/>
      <protection hidden="1"/>
    </xf>
    <xf numFmtId="186" fontId="20" fillId="6" borderId="6" xfId="0" applyNumberFormat="1" applyFont="1" applyFill="1" applyBorder="1" applyAlignment="1" applyProtection="1">
      <alignment horizontal="center" vertical="center"/>
      <protection hidden="1"/>
    </xf>
    <xf numFmtId="183" fontId="23" fillId="6" borderId="2" xfId="0" applyNumberFormat="1" applyFont="1" applyFill="1" applyBorder="1" applyAlignment="1" applyProtection="1">
      <alignment horizontal="center" vertical="center" wrapText="1"/>
      <protection hidden="1"/>
    </xf>
    <xf numFmtId="183" fontId="23" fillId="6" borderId="1" xfId="0" applyNumberFormat="1" applyFont="1" applyFill="1" applyBorder="1" applyAlignment="1" applyProtection="1">
      <alignment horizontal="center" vertical="center" wrapText="1"/>
      <protection hidden="1"/>
    </xf>
    <xf numFmtId="183" fontId="23" fillId="6" borderId="6" xfId="0" applyNumberFormat="1" applyFont="1" applyFill="1" applyBorder="1" applyAlignment="1" applyProtection="1">
      <alignment horizontal="center" vertical="center" wrapText="1"/>
      <protection hidden="1"/>
    </xf>
    <xf numFmtId="177" fontId="25" fillId="6" borderId="2" xfId="0" applyNumberFormat="1" applyFont="1" applyFill="1" applyBorder="1" applyAlignment="1" applyProtection="1">
      <alignment horizontal="center" vertical="center"/>
      <protection hidden="1"/>
    </xf>
    <xf numFmtId="177" fontId="25" fillId="6" borderId="1" xfId="0" applyNumberFormat="1" applyFont="1" applyFill="1" applyBorder="1" applyAlignment="1" applyProtection="1">
      <alignment horizontal="center" vertical="center"/>
      <protection hidden="1"/>
    </xf>
    <xf numFmtId="177" fontId="25" fillId="6" borderId="6" xfId="0" applyNumberFormat="1" applyFont="1" applyFill="1" applyBorder="1" applyAlignment="1" applyProtection="1">
      <alignment horizontal="center" vertical="center"/>
      <protection hidden="1"/>
    </xf>
    <xf numFmtId="183" fontId="22" fillId="6" borderId="1" xfId="0" applyNumberFormat="1" applyFont="1" applyFill="1" applyBorder="1" applyAlignment="1" applyProtection="1">
      <alignment horizontal="center" vertical="center" wrapText="1"/>
      <protection hidden="1"/>
    </xf>
    <xf numFmtId="183" fontId="22" fillId="6" borderId="6" xfId="0" applyNumberFormat="1" applyFont="1" applyFill="1" applyBorder="1" applyAlignment="1" applyProtection="1">
      <alignment horizontal="center" vertical="center"/>
      <protection hidden="1"/>
    </xf>
    <xf numFmtId="177" fontId="20" fillId="6" borderId="2" xfId="0" applyNumberFormat="1" applyFont="1" applyFill="1" applyBorder="1" applyAlignment="1" applyProtection="1">
      <alignment horizontal="center" vertical="center"/>
      <protection hidden="1"/>
    </xf>
    <xf numFmtId="183" fontId="22" fillId="6" borderId="5" xfId="0" applyNumberFormat="1" applyFont="1" applyFill="1" applyBorder="1" applyAlignment="1" applyProtection="1">
      <alignment horizontal="center" vertical="center" wrapText="1"/>
      <protection hidden="1"/>
    </xf>
    <xf numFmtId="183" fontId="22" fillId="6" borderId="11" xfId="0" applyNumberFormat="1" applyFont="1" applyFill="1" applyBorder="1" applyAlignment="1" applyProtection="1">
      <alignment horizontal="center" vertical="center" wrapText="1"/>
      <protection hidden="1"/>
    </xf>
    <xf numFmtId="183" fontId="22" fillId="6" borderId="7" xfId="0" applyNumberFormat="1" applyFont="1" applyFill="1" applyBorder="1" applyAlignment="1" applyProtection="1">
      <alignment horizontal="center" vertical="center" wrapText="1"/>
      <protection hidden="1"/>
    </xf>
    <xf numFmtId="183" fontId="22" fillId="6" borderId="12" xfId="0" applyNumberFormat="1" applyFont="1" applyFill="1" applyBorder="1" applyAlignment="1" applyProtection="1">
      <alignment horizontal="center" vertical="center" wrapText="1"/>
      <protection hidden="1"/>
    </xf>
    <xf numFmtId="177" fontId="20" fillId="6" borderId="5" xfId="0" applyNumberFormat="1" applyFont="1" applyFill="1" applyBorder="1" applyAlignment="1" applyProtection="1">
      <alignment horizontal="center" vertical="center"/>
      <protection hidden="1"/>
    </xf>
    <xf numFmtId="177" fontId="20" fillId="6" borderId="11" xfId="0" applyNumberFormat="1" applyFont="1" applyFill="1" applyBorder="1" applyAlignment="1" applyProtection="1">
      <alignment horizontal="center" vertical="center"/>
      <protection hidden="1"/>
    </xf>
    <xf numFmtId="177" fontId="20" fillId="6" borderId="7" xfId="0" applyNumberFormat="1" applyFont="1" applyFill="1" applyBorder="1" applyAlignment="1" applyProtection="1">
      <alignment horizontal="center" vertical="center"/>
      <protection hidden="1"/>
    </xf>
    <xf numFmtId="177" fontId="20" fillId="6" borderId="12" xfId="0" applyNumberFormat="1" applyFont="1" applyFill="1" applyBorder="1" applyAlignment="1" applyProtection="1">
      <alignment horizontal="center" vertical="center"/>
      <protection hidden="1"/>
    </xf>
    <xf numFmtId="0" fontId="23" fillId="6" borderId="1" xfId="0" applyFont="1" applyFill="1" applyBorder="1" applyAlignment="1" applyProtection="1">
      <alignment vertical="center" wrapText="1" shrinkToFit="1"/>
      <protection hidden="1"/>
    </xf>
    <xf numFmtId="0" fontId="23" fillId="6" borderId="2" xfId="0" applyFont="1" applyFill="1" applyBorder="1" applyAlignment="1" applyProtection="1">
      <alignment horizontal="center" vertical="center" wrapText="1" shrinkToFit="1"/>
      <protection hidden="1"/>
    </xf>
    <xf numFmtId="0" fontId="22" fillId="6" borderId="1" xfId="0" applyFont="1" applyFill="1" applyBorder="1" applyAlignment="1" applyProtection="1">
      <alignment horizontal="center" vertical="center" wrapText="1" shrinkToFit="1"/>
      <protection hidden="1"/>
    </xf>
    <xf numFmtId="0" fontId="22" fillId="6" borderId="6" xfId="0" applyFont="1" applyFill="1" applyBorder="1" applyAlignment="1" applyProtection="1">
      <alignment horizontal="center" vertical="center" wrapText="1" shrinkToFit="1"/>
      <protection hidden="1"/>
    </xf>
    <xf numFmtId="177" fontId="23" fillId="6" borderId="1" xfId="0" applyNumberFormat="1" applyFont="1" applyFill="1" applyBorder="1" applyAlignment="1" applyProtection="1">
      <alignment vertical="center" shrinkToFit="1"/>
      <protection hidden="1"/>
    </xf>
    <xf numFmtId="177" fontId="23" fillId="6" borderId="2" xfId="0" applyNumberFormat="1" applyFont="1" applyFill="1" applyBorder="1" applyAlignment="1" applyProtection="1">
      <alignment horizontal="center" vertical="center" shrinkToFit="1"/>
      <protection hidden="1"/>
    </xf>
    <xf numFmtId="177" fontId="23" fillId="6" borderId="1" xfId="0" applyNumberFormat="1" applyFont="1" applyFill="1" applyBorder="1" applyAlignment="1" applyProtection="1">
      <alignment horizontal="center" vertical="center" wrapText="1" shrinkToFit="1"/>
      <protection hidden="1"/>
    </xf>
    <xf numFmtId="177" fontId="23" fillId="6" borderId="6" xfId="0" applyNumberFormat="1" applyFont="1" applyFill="1" applyBorder="1" applyAlignment="1" applyProtection="1">
      <alignment horizontal="center" vertical="center" wrapText="1" shrinkToFit="1"/>
      <protection hidden="1"/>
    </xf>
    <xf numFmtId="177" fontId="23" fillId="6" borderId="9" xfId="0" applyNumberFormat="1" applyFont="1" applyFill="1" applyBorder="1" applyAlignment="1" applyProtection="1">
      <alignment horizontal="center" vertical="center" wrapText="1" shrinkToFit="1"/>
      <protection hidden="1"/>
    </xf>
    <xf numFmtId="186" fontId="13" fillId="6" borderId="2" xfId="0" applyNumberFormat="1" applyFont="1" applyFill="1" applyBorder="1" applyAlignment="1" applyProtection="1">
      <alignment horizontal="center" vertical="center"/>
      <protection hidden="1"/>
    </xf>
    <xf numFmtId="0" fontId="7" fillId="2" borderId="2" xfId="0" applyFont="1" applyFill="1" applyBorder="1" applyAlignment="1" applyProtection="1">
      <alignment vertical="center" wrapText="1" shrinkToFit="1"/>
      <protection locked="0" hidden="1"/>
    </xf>
    <xf numFmtId="0" fontId="7" fillId="2" borderId="6" xfId="0" applyFont="1" applyFill="1" applyBorder="1" applyAlignment="1" applyProtection="1">
      <alignment vertical="center" shrinkToFit="1"/>
      <protection locked="0" hidden="1"/>
    </xf>
    <xf numFmtId="0" fontId="0" fillId="0" borderId="6" xfId="0" applyFill="1" applyBorder="1" applyProtection="1">
      <alignment vertical="center"/>
      <protection hidden="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李格非" xfId="49"/>
    <cellStyle name="常规_中南财经政法大学专业技术岗位晋升聘用申报表" xfId="50"/>
    <cellStyle name="常规 2" xfId="51"/>
  </cellStyles>
  <tableStyles count="0" defaultTableStyle="TableStyleMedium9" defaultPivotStyle="PivotStyleLight16"/>
  <colors>
    <mruColors>
      <color rgb="00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T204"/>
  <sheetViews>
    <sheetView tabSelected="1" workbookViewId="0">
      <selection activeCell="J25" sqref="J25:K25"/>
    </sheetView>
  </sheetViews>
  <sheetFormatPr defaultColWidth="9" defaultRowHeight="14.25"/>
  <cols>
    <col min="1" max="1" width="11.125" style="28" customWidth="1"/>
    <col min="2" max="2" width="14.375" style="29" customWidth="1"/>
    <col min="3" max="3" width="7.25" style="30" customWidth="1"/>
    <col min="4" max="4" width="6.75" style="30" customWidth="1"/>
    <col min="5" max="5" width="12.125" style="30" customWidth="1"/>
    <col min="6" max="6" width="5.5" style="30" customWidth="1"/>
    <col min="7" max="7" width="11.5" style="30" customWidth="1"/>
    <col min="8" max="8" width="7.75" style="30" customWidth="1"/>
    <col min="9" max="9" width="8" style="30" customWidth="1"/>
    <col min="10" max="10" width="9.5" style="30" customWidth="1"/>
    <col min="11" max="11" width="8.75" style="30" customWidth="1"/>
    <col min="12" max="12" width="7" style="30" customWidth="1"/>
    <col min="13" max="13" width="8.375" style="30" customWidth="1"/>
    <col min="14" max="14" width="10.125" style="30" customWidth="1"/>
    <col min="15" max="15" width="10.25" style="31" customWidth="1"/>
    <col min="16" max="16" width="16" style="31" hidden="1" customWidth="1"/>
    <col min="17" max="17" width="13.375" style="31" hidden="1" customWidth="1"/>
    <col min="18" max="18" width="13.375" style="32" hidden="1" customWidth="1"/>
    <col min="19" max="19" width="11.125" style="31" hidden="1" customWidth="1"/>
    <col min="20" max="20" width="13.125" style="31" hidden="1" customWidth="1"/>
    <col min="21" max="21" width="11.375" style="31" hidden="1" customWidth="1"/>
    <col min="22" max="22" width="14.125" style="31" hidden="1" customWidth="1"/>
    <col min="23" max="23" width="14.375" style="31" hidden="1" customWidth="1"/>
    <col min="24" max="26" width="12" style="31" hidden="1" customWidth="1"/>
    <col min="27" max="27" width="13.125" style="31" hidden="1" customWidth="1"/>
    <col min="28" max="28" width="14.5" style="31" hidden="1" customWidth="1"/>
    <col min="29" max="29" width="18.125" style="31" hidden="1" customWidth="1"/>
    <col min="30" max="30" width="17.75" style="31" hidden="1" customWidth="1"/>
    <col min="31" max="31" width="16" style="31" hidden="1" customWidth="1"/>
    <col min="32" max="32" width="14.875" style="31" hidden="1" customWidth="1"/>
    <col min="33" max="33" width="9" style="31" hidden="1" customWidth="1"/>
    <col min="34" max="35" width="11.875" style="31" hidden="1" customWidth="1"/>
    <col min="36" max="36" width="11.875" style="33" hidden="1" customWidth="1"/>
    <col min="37" max="37" width="9" style="34" customWidth="1"/>
    <col min="38" max="40" width="9" style="35" customWidth="1"/>
    <col min="41" max="60" width="9" style="35"/>
    <col min="61" max="71" width="9" style="28"/>
    <col min="72" max="72" width="9" style="29"/>
    <col min="73" max="16384" width="9" style="30"/>
  </cols>
  <sheetData>
    <row r="1" spans="1:60">
      <c r="A1" s="36"/>
      <c r="B1" s="37" t="s">
        <v>0</v>
      </c>
      <c r="C1" s="37" t="s">
        <v>1</v>
      </c>
      <c r="D1" s="38"/>
      <c r="E1" s="38"/>
      <c r="F1" s="38"/>
      <c r="G1" s="38"/>
      <c r="H1" s="38"/>
      <c r="I1" s="38"/>
      <c r="J1" s="38"/>
      <c r="K1" s="38"/>
      <c r="L1" s="38"/>
      <c r="M1" s="38"/>
      <c r="N1" s="38"/>
      <c r="O1" s="38"/>
      <c r="P1" s="98"/>
      <c r="AK1" s="140"/>
      <c r="AL1" s="140"/>
      <c r="AM1" s="140"/>
      <c r="AN1" s="140"/>
      <c r="AO1" s="140"/>
      <c r="AP1" s="140"/>
      <c r="AQ1" s="140"/>
      <c r="AR1" s="140"/>
      <c r="AS1" s="140"/>
      <c r="AT1" s="140"/>
      <c r="AU1" s="140"/>
      <c r="AV1" s="140"/>
      <c r="AW1" s="140"/>
      <c r="AX1" s="140"/>
      <c r="AY1" s="140"/>
      <c r="AZ1" s="140"/>
      <c r="BA1" s="140"/>
      <c r="BB1" s="140"/>
      <c r="BC1" s="140"/>
      <c r="BD1" s="140"/>
      <c r="BE1" s="140"/>
      <c r="BF1" s="140"/>
      <c r="BG1" s="140"/>
      <c r="BH1" s="140"/>
    </row>
    <row r="2" spans="1:60">
      <c r="A2" s="36"/>
      <c r="B2" s="37"/>
      <c r="C2" s="38" t="s">
        <v>2</v>
      </c>
      <c r="D2" s="38"/>
      <c r="E2" s="38"/>
      <c r="F2" s="38"/>
      <c r="G2" s="38"/>
      <c r="H2" s="38"/>
      <c r="I2" s="38"/>
      <c r="J2" s="38"/>
      <c r="K2" s="38"/>
      <c r="L2" s="38"/>
      <c r="M2" s="38"/>
      <c r="N2" s="38"/>
      <c r="O2" s="38"/>
      <c r="P2" s="98"/>
      <c r="AK2" s="140"/>
      <c r="AL2" s="140"/>
      <c r="AM2" s="140"/>
      <c r="AN2" s="140"/>
      <c r="AO2" s="140"/>
      <c r="AP2" s="140"/>
      <c r="AQ2" s="140"/>
      <c r="AR2" s="140"/>
      <c r="AS2" s="140"/>
      <c r="AT2" s="140"/>
      <c r="AU2" s="140"/>
      <c r="AV2" s="140"/>
      <c r="AW2" s="140"/>
      <c r="AX2" s="140"/>
      <c r="AY2" s="140"/>
      <c r="AZ2" s="140"/>
      <c r="BA2" s="140"/>
      <c r="BB2" s="140"/>
      <c r="BC2" s="140"/>
      <c r="BD2" s="140"/>
      <c r="BE2" s="140"/>
      <c r="BF2" s="140"/>
      <c r="BG2" s="140"/>
      <c r="BH2" s="140"/>
    </row>
    <row r="3" spans="1:60">
      <c r="A3" s="36"/>
      <c r="B3" s="37"/>
      <c r="C3" s="38" t="s">
        <v>3</v>
      </c>
      <c r="D3" s="38"/>
      <c r="E3" s="38"/>
      <c r="F3" s="38"/>
      <c r="G3" s="38"/>
      <c r="H3" s="38"/>
      <c r="I3" s="38"/>
      <c r="J3" s="38"/>
      <c r="K3" s="38"/>
      <c r="L3" s="38"/>
      <c r="M3" s="38"/>
      <c r="N3" s="38"/>
      <c r="O3" s="38"/>
      <c r="P3" s="98"/>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row>
    <row r="4" spans="1:60">
      <c r="A4" s="36"/>
      <c r="B4" s="37"/>
      <c r="C4" s="38" t="s">
        <v>4</v>
      </c>
      <c r="D4" s="38"/>
      <c r="E4" s="38"/>
      <c r="F4" s="38"/>
      <c r="G4" s="38"/>
      <c r="H4" s="38"/>
      <c r="I4" s="38"/>
      <c r="J4" s="38"/>
      <c r="K4" s="38"/>
      <c r="L4" s="38"/>
      <c r="M4" s="38"/>
      <c r="N4" s="38"/>
      <c r="O4" s="38"/>
      <c r="P4" s="98"/>
      <c r="AK4" s="140"/>
      <c r="AL4" s="140"/>
      <c r="AM4" s="140"/>
      <c r="AN4" s="140"/>
      <c r="AO4" s="140"/>
      <c r="AP4" s="140"/>
      <c r="AQ4" s="140"/>
      <c r="AR4" s="140"/>
      <c r="AS4" s="140"/>
      <c r="AT4" s="140"/>
      <c r="AU4" s="140"/>
      <c r="AV4" s="140"/>
      <c r="AW4" s="140"/>
      <c r="AX4" s="140"/>
      <c r="AY4" s="140"/>
      <c r="AZ4" s="140"/>
      <c r="BA4" s="140"/>
      <c r="BB4" s="140"/>
      <c r="BC4" s="140"/>
      <c r="BD4" s="140"/>
      <c r="BE4" s="140"/>
      <c r="BF4" s="140"/>
      <c r="BG4" s="140"/>
      <c r="BH4" s="140"/>
    </row>
    <row r="5" spans="1:60">
      <c r="A5" s="36"/>
      <c r="B5" s="37"/>
      <c r="C5" s="38" t="s">
        <v>5</v>
      </c>
      <c r="D5" s="38"/>
      <c r="E5" s="38"/>
      <c r="F5" s="38"/>
      <c r="G5" s="38"/>
      <c r="H5" s="38"/>
      <c r="I5" s="38"/>
      <c r="J5" s="38"/>
      <c r="K5" s="38"/>
      <c r="L5" s="38"/>
      <c r="M5" s="38"/>
      <c r="N5" s="38"/>
      <c r="O5" s="38"/>
      <c r="P5" s="98"/>
      <c r="AK5" s="140"/>
      <c r="AL5" s="140"/>
      <c r="AM5" s="140"/>
      <c r="AN5" s="140"/>
      <c r="AO5" s="140"/>
      <c r="AP5" s="140"/>
      <c r="AQ5" s="140"/>
      <c r="AR5" s="140"/>
      <c r="AS5" s="140"/>
      <c r="AT5" s="140"/>
      <c r="AU5" s="140"/>
      <c r="AV5" s="140"/>
      <c r="AW5" s="140"/>
      <c r="AX5" s="140"/>
      <c r="AY5" s="140"/>
      <c r="AZ5" s="140"/>
      <c r="BA5" s="140"/>
      <c r="BB5" s="140"/>
      <c r="BC5" s="140"/>
      <c r="BD5" s="140"/>
      <c r="BE5" s="140"/>
      <c r="BF5" s="140"/>
      <c r="BG5" s="140"/>
      <c r="BH5" s="140"/>
    </row>
    <row r="6" ht="23" customHeight="1" spans="1:60">
      <c r="A6" s="36"/>
      <c r="B6" s="39"/>
      <c r="C6" s="39"/>
      <c r="D6" s="39"/>
      <c r="E6" s="39"/>
      <c r="F6" s="39"/>
      <c r="G6" s="39"/>
      <c r="H6" s="39"/>
      <c r="I6" s="39"/>
      <c r="J6" s="39"/>
      <c r="K6" s="39"/>
      <c r="L6" s="39"/>
      <c r="M6" s="39"/>
      <c r="N6" s="39"/>
      <c r="O6" s="99"/>
      <c r="P6" s="100"/>
      <c r="AK6" s="140"/>
      <c r="AL6" s="140"/>
      <c r="AM6" s="140"/>
      <c r="AN6" s="140"/>
      <c r="AO6" s="140"/>
      <c r="AP6" s="140"/>
      <c r="AQ6" s="140"/>
      <c r="AR6" s="140"/>
      <c r="AS6" s="140"/>
      <c r="AT6" s="140"/>
      <c r="AU6" s="140"/>
      <c r="AV6" s="140"/>
      <c r="AW6" s="140"/>
      <c r="AX6" s="140"/>
      <c r="AY6" s="140"/>
      <c r="AZ6" s="140"/>
      <c r="BA6" s="140"/>
      <c r="BB6" s="140"/>
      <c r="BC6" s="140"/>
      <c r="BD6" s="140"/>
      <c r="BE6" s="140"/>
      <c r="BF6" s="140"/>
      <c r="BG6" s="140"/>
      <c r="BH6" s="140"/>
    </row>
    <row r="7" ht="79" customHeight="1" spans="1:60">
      <c r="A7" s="36"/>
      <c r="B7" s="40" t="s">
        <v>6</v>
      </c>
      <c r="C7" s="40"/>
      <c r="D7" s="40"/>
      <c r="E7" s="40"/>
      <c r="F7" s="40"/>
      <c r="G7" s="40"/>
      <c r="H7" s="40"/>
      <c r="I7" s="40"/>
      <c r="J7" s="40"/>
      <c r="K7" s="40"/>
      <c r="L7" s="40"/>
      <c r="M7" s="40"/>
      <c r="N7" s="40"/>
      <c r="O7" s="40"/>
      <c r="P7" s="101"/>
      <c r="Q7" s="98"/>
      <c r="AK7" s="140"/>
      <c r="AL7" s="140"/>
      <c r="AM7" s="140"/>
      <c r="AN7" s="140"/>
      <c r="AO7" s="140"/>
      <c r="AP7" s="140"/>
      <c r="AQ7" s="140"/>
      <c r="AR7" s="140"/>
      <c r="AS7" s="140"/>
      <c r="AT7" s="140"/>
      <c r="AU7" s="140"/>
      <c r="AV7" s="140"/>
      <c r="AW7" s="140"/>
      <c r="AX7" s="140"/>
      <c r="AY7" s="140"/>
      <c r="AZ7" s="140"/>
      <c r="BA7" s="140"/>
      <c r="BB7" s="140"/>
      <c r="BC7" s="140"/>
      <c r="BD7" s="140"/>
      <c r="BE7" s="140"/>
      <c r="BF7" s="140"/>
      <c r="BG7" s="140"/>
      <c r="BH7" s="140"/>
    </row>
    <row r="8" ht="31" customHeight="1" spans="1:60">
      <c r="A8" s="36"/>
      <c r="B8" s="40"/>
      <c r="C8" s="40"/>
      <c r="D8" s="40"/>
      <c r="E8" s="40"/>
      <c r="F8" s="40"/>
      <c r="G8" s="40"/>
      <c r="H8" s="40"/>
      <c r="I8" s="40"/>
      <c r="J8" s="40"/>
      <c r="K8" s="40"/>
      <c r="L8" s="40"/>
      <c r="M8" s="40"/>
      <c r="N8" s="40"/>
      <c r="O8" s="40"/>
      <c r="P8" s="102"/>
      <c r="AK8" s="140"/>
      <c r="AL8" s="140"/>
      <c r="AM8" s="140"/>
      <c r="AN8" s="140"/>
      <c r="AO8" s="140"/>
      <c r="AP8" s="140"/>
      <c r="AQ8" s="140"/>
      <c r="AR8" s="140"/>
      <c r="AS8" s="140"/>
      <c r="AT8" s="140"/>
      <c r="AU8" s="140"/>
      <c r="AV8" s="140"/>
      <c r="AW8" s="140"/>
      <c r="AX8" s="140"/>
      <c r="AY8" s="140"/>
      <c r="AZ8" s="140"/>
      <c r="BA8" s="140"/>
      <c r="BB8" s="140"/>
      <c r="BC8" s="140"/>
      <c r="BD8" s="140"/>
      <c r="BE8" s="140"/>
      <c r="BF8" s="140"/>
      <c r="BG8" s="140"/>
      <c r="BH8" s="140"/>
    </row>
    <row r="9" ht="21" customHeight="1" spans="1:60">
      <c r="A9" s="36"/>
      <c r="B9" s="41"/>
      <c r="C9" s="41"/>
      <c r="D9" s="41"/>
      <c r="E9" s="41"/>
      <c r="F9" s="41"/>
      <c r="G9" s="42"/>
      <c r="H9" s="42"/>
      <c r="I9" s="103" t="s">
        <v>7</v>
      </c>
      <c r="J9" s="103"/>
      <c r="K9" s="41"/>
      <c r="L9" s="41"/>
      <c r="M9" s="41"/>
      <c r="N9" s="41"/>
      <c r="O9" s="99"/>
      <c r="P9" s="98"/>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row>
    <row r="10" ht="8" customHeight="1" spans="1:60">
      <c r="A10" s="36"/>
      <c r="B10" s="43"/>
      <c r="C10" s="44"/>
      <c r="D10" s="44"/>
      <c r="E10" s="44"/>
      <c r="F10" s="44"/>
      <c r="G10" s="44"/>
      <c r="H10" s="44"/>
      <c r="I10" s="44"/>
      <c r="J10" s="44"/>
      <c r="K10" s="44"/>
      <c r="L10" s="44"/>
      <c r="M10" s="44"/>
      <c r="N10" s="44"/>
      <c r="O10" s="99"/>
      <c r="P10" s="98"/>
      <c r="AK10" s="140"/>
      <c r="AL10" s="140"/>
      <c r="AM10" s="140"/>
      <c r="AN10" s="140"/>
      <c r="AO10" s="140"/>
      <c r="AP10" s="140"/>
      <c r="AQ10" s="140"/>
      <c r="AR10" s="140"/>
      <c r="AS10" s="140"/>
      <c r="AT10" s="140"/>
      <c r="AU10" s="140"/>
      <c r="AV10" s="140"/>
      <c r="AW10" s="140"/>
      <c r="AX10" s="140"/>
      <c r="AY10" s="140"/>
      <c r="AZ10" s="140"/>
      <c r="BA10" s="140"/>
      <c r="BB10" s="140"/>
      <c r="BC10" s="140"/>
      <c r="BD10" s="140"/>
      <c r="BE10" s="140"/>
      <c r="BF10" s="140"/>
      <c r="BG10" s="140"/>
      <c r="BH10" s="140"/>
    </row>
    <row r="11" ht="15" customHeight="1" spans="1:60">
      <c r="A11" s="36"/>
      <c r="B11" s="43"/>
      <c r="C11" s="44"/>
      <c r="D11" s="44"/>
      <c r="E11" s="44"/>
      <c r="F11" s="44"/>
      <c r="G11" s="44"/>
      <c r="H11" s="44"/>
      <c r="I11" s="44"/>
      <c r="J11" s="44"/>
      <c r="K11" s="44"/>
      <c r="L11" s="44"/>
      <c r="M11" s="44"/>
      <c r="N11" s="44"/>
      <c r="O11" s="99"/>
      <c r="P11" s="98"/>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row>
    <row r="12" ht="15" customHeight="1" spans="1:60">
      <c r="A12" s="36"/>
      <c r="B12" s="43"/>
      <c r="C12" s="44"/>
      <c r="D12" s="44"/>
      <c r="E12" s="44"/>
      <c r="F12" s="44"/>
      <c r="G12" s="44"/>
      <c r="H12" s="44"/>
      <c r="I12" s="44"/>
      <c r="J12" s="44"/>
      <c r="K12" s="44"/>
      <c r="L12" s="44"/>
      <c r="M12" s="44"/>
      <c r="N12" s="44"/>
      <c r="O12" s="99"/>
      <c r="P12" s="98"/>
      <c r="AK12" s="140"/>
      <c r="AL12" s="140"/>
      <c r="AM12" s="140"/>
      <c r="AN12" s="140"/>
      <c r="AO12" s="140"/>
      <c r="AP12" s="140"/>
      <c r="AQ12" s="140"/>
      <c r="AR12" s="140"/>
      <c r="AS12" s="140"/>
      <c r="AT12" s="140"/>
      <c r="AU12" s="140"/>
      <c r="AV12" s="140"/>
      <c r="AW12" s="140"/>
      <c r="AX12" s="140"/>
      <c r="AY12" s="140"/>
      <c r="AZ12" s="140"/>
      <c r="BA12" s="140"/>
      <c r="BB12" s="140"/>
      <c r="BC12" s="140"/>
      <c r="BD12" s="140"/>
      <c r="BE12" s="140"/>
      <c r="BF12" s="140"/>
      <c r="BG12" s="140"/>
      <c r="BH12" s="140"/>
    </row>
    <row r="13" ht="15" customHeight="1" spans="1:60">
      <c r="A13" s="36"/>
      <c r="B13" s="43"/>
      <c r="C13" s="44"/>
      <c r="D13" s="44"/>
      <c r="E13" s="44"/>
      <c r="F13" s="44"/>
      <c r="G13" s="44"/>
      <c r="H13" s="44"/>
      <c r="I13" s="44"/>
      <c r="J13" s="44"/>
      <c r="K13" s="44"/>
      <c r="L13" s="44"/>
      <c r="M13" s="44"/>
      <c r="N13" s="44"/>
      <c r="O13" s="99"/>
      <c r="P13" s="98"/>
      <c r="AK13" s="140"/>
      <c r="AL13" s="140"/>
      <c r="AM13" s="140"/>
      <c r="AN13" s="140"/>
      <c r="AO13" s="140"/>
      <c r="AP13" s="140"/>
      <c r="AQ13" s="140"/>
      <c r="AR13" s="140"/>
      <c r="AS13" s="140"/>
      <c r="AT13" s="140"/>
      <c r="AU13" s="140"/>
      <c r="AV13" s="140"/>
      <c r="AW13" s="140"/>
      <c r="AX13" s="140"/>
      <c r="AY13" s="140"/>
      <c r="AZ13" s="140"/>
      <c r="BA13" s="140"/>
      <c r="BB13" s="140"/>
      <c r="BC13" s="140"/>
      <c r="BD13" s="140"/>
      <c r="BE13" s="140"/>
      <c r="BF13" s="140"/>
      <c r="BG13" s="140"/>
      <c r="BH13" s="140"/>
    </row>
    <row r="14" ht="28" customHeight="1" spans="1:60">
      <c r="A14" s="36"/>
      <c r="B14" s="43"/>
      <c r="C14" s="43"/>
      <c r="D14" s="45"/>
      <c r="E14" s="46" t="s">
        <v>8</v>
      </c>
      <c r="F14" s="46"/>
      <c r="G14" s="46"/>
      <c r="H14" s="47"/>
      <c r="I14" s="47"/>
      <c r="J14" s="47"/>
      <c r="K14" s="47"/>
      <c r="L14" s="43"/>
      <c r="M14" s="43"/>
      <c r="N14" s="43"/>
      <c r="O14" s="104"/>
      <c r="P14" s="98"/>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row>
    <row r="15" ht="28" customHeight="1" spans="1:60">
      <c r="A15" s="36"/>
      <c r="B15" s="43"/>
      <c r="C15" s="43"/>
      <c r="D15" s="39"/>
      <c r="E15" s="46" t="s">
        <v>9</v>
      </c>
      <c r="F15" s="46"/>
      <c r="G15" s="46"/>
      <c r="H15" s="47"/>
      <c r="I15" s="47"/>
      <c r="J15" s="47"/>
      <c r="K15" s="47"/>
      <c r="L15" s="43"/>
      <c r="M15" s="43"/>
      <c r="N15" s="43"/>
      <c r="O15" s="104"/>
      <c r="P15" s="98"/>
      <c r="AK15" s="140"/>
      <c r="AL15" s="140"/>
      <c r="AM15" s="140"/>
      <c r="AN15" s="140"/>
      <c r="AO15" s="140"/>
      <c r="AP15" s="140"/>
      <c r="AQ15" s="140"/>
      <c r="AR15" s="140"/>
      <c r="AS15" s="140"/>
      <c r="AT15" s="140"/>
      <c r="AU15" s="140"/>
      <c r="AV15" s="140"/>
      <c r="AW15" s="140"/>
      <c r="AX15" s="140"/>
      <c r="AY15" s="140"/>
      <c r="AZ15" s="140"/>
      <c r="BA15" s="140"/>
      <c r="BB15" s="140"/>
      <c r="BC15" s="140"/>
      <c r="BD15" s="140"/>
      <c r="BE15" s="140"/>
      <c r="BF15" s="140"/>
      <c r="BG15" s="140"/>
      <c r="BH15" s="140"/>
    </row>
    <row r="16" ht="28" customHeight="1" spans="1:60">
      <c r="A16" s="36"/>
      <c r="B16" s="43"/>
      <c r="C16" s="43"/>
      <c r="D16" s="48"/>
      <c r="E16" s="49" t="s">
        <v>10</v>
      </c>
      <c r="F16" s="49"/>
      <c r="G16" s="49"/>
      <c r="H16" s="47"/>
      <c r="I16" s="47"/>
      <c r="J16" s="47"/>
      <c r="K16" s="47"/>
      <c r="L16" s="43"/>
      <c r="M16" s="43"/>
      <c r="N16" s="43"/>
      <c r="O16" s="104"/>
      <c r="P16" s="98"/>
      <c r="AK16" s="140"/>
      <c r="AL16" s="140"/>
      <c r="AM16" s="140"/>
      <c r="AN16" s="140"/>
      <c r="AO16" s="140"/>
      <c r="AP16" s="140"/>
      <c r="AQ16" s="140"/>
      <c r="AR16" s="140"/>
      <c r="AS16" s="140"/>
      <c r="AT16" s="140"/>
      <c r="AU16" s="140"/>
      <c r="AV16" s="140"/>
      <c r="AW16" s="140"/>
      <c r="AX16" s="140"/>
      <c r="AY16" s="140"/>
      <c r="AZ16" s="140"/>
      <c r="BA16" s="140"/>
      <c r="BB16" s="140"/>
      <c r="BC16" s="140"/>
      <c r="BD16" s="140"/>
      <c r="BE16" s="140"/>
      <c r="BF16" s="140"/>
      <c r="BG16" s="140"/>
      <c r="BH16" s="140"/>
    </row>
    <row r="17" ht="28" customHeight="1" spans="1:60">
      <c r="A17" s="36"/>
      <c r="B17" s="43"/>
      <c r="C17" s="43"/>
      <c r="D17" s="48"/>
      <c r="E17" s="49" t="s">
        <v>11</v>
      </c>
      <c r="F17" s="49"/>
      <c r="G17" s="49"/>
      <c r="H17" s="50" t="s">
        <v>12</v>
      </c>
      <c r="I17" s="50"/>
      <c r="J17" s="50"/>
      <c r="K17" s="50"/>
      <c r="L17" s="43"/>
      <c r="M17" s="43"/>
      <c r="N17" s="43"/>
      <c r="O17" s="104"/>
      <c r="P17" s="98"/>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row>
    <row r="18" ht="28" customHeight="1" spans="1:60">
      <c r="A18" s="36"/>
      <c r="B18" s="43"/>
      <c r="C18" s="43"/>
      <c r="D18" s="48"/>
      <c r="E18" s="49" t="s">
        <v>13</v>
      </c>
      <c r="F18" s="49"/>
      <c r="G18" s="49"/>
      <c r="H18" s="51" t="s">
        <v>14</v>
      </c>
      <c r="I18" s="51"/>
      <c r="J18" s="51"/>
      <c r="K18" s="51"/>
      <c r="L18" s="43"/>
      <c r="M18" s="43"/>
      <c r="N18" s="43"/>
      <c r="O18" s="104"/>
      <c r="P18" s="98"/>
      <c r="AK18" s="140"/>
      <c r="AL18" s="140"/>
      <c r="AM18" s="140"/>
      <c r="AN18" s="140"/>
      <c r="AO18" s="140"/>
      <c r="AP18" s="140"/>
      <c r="AQ18" s="140"/>
      <c r="AR18" s="140"/>
      <c r="AS18" s="140"/>
      <c r="AT18" s="140"/>
      <c r="AU18" s="140"/>
      <c r="AV18" s="140"/>
      <c r="AW18" s="140"/>
      <c r="AX18" s="140"/>
      <c r="AY18" s="140"/>
      <c r="AZ18" s="140"/>
      <c r="BA18" s="140"/>
      <c r="BB18" s="140"/>
      <c r="BC18" s="140"/>
      <c r="BD18" s="140"/>
      <c r="BE18" s="140"/>
      <c r="BF18" s="140"/>
      <c r="BG18" s="140"/>
      <c r="BH18" s="140"/>
    </row>
    <row r="19" ht="28" customHeight="1" spans="1:60">
      <c r="A19" s="36"/>
      <c r="B19" s="43"/>
      <c r="C19" s="43"/>
      <c r="D19" s="45"/>
      <c r="E19" s="46" t="s">
        <v>15</v>
      </c>
      <c r="F19" s="46"/>
      <c r="G19" s="46"/>
      <c r="H19" s="50" t="s">
        <v>16</v>
      </c>
      <c r="I19" s="50"/>
      <c r="J19" s="50"/>
      <c r="K19" s="50"/>
      <c r="L19" s="43"/>
      <c r="M19" s="43"/>
      <c r="N19" s="43"/>
      <c r="O19" s="104"/>
      <c r="P19" s="98"/>
      <c r="AK19" s="140"/>
      <c r="AL19" s="140"/>
      <c r="AM19" s="140"/>
      <c r="AN19" s="140"/>
      <c r="AO19" s="140"/>
      <c r="AP19" s="140"/>
      <c r="AQ19" s="140"/>
      <c r="AR19" s="140"/>
      <c r="AS19" s="140"/>
      <c r="AT19" s="140"/>
      <c r="AU19" s="140"/>
      <c r="AV19" s="140"/>
      <c r="AW19" s="140"/>
      <c r="AX19" s="140"/>
      <c r="AY19" s="140"/>
      <c r="AZ19" s="140"/>
      <c r="BA19" s="140"/>
      <c r="BB19" s="140"/>
      <c r="BC19" s="140"/>
      <c r="BD19" s="140"/>
      <c r="BE19" s="140"/>
      <c r="BF19" s="140"/>
      <c r="BG19" s="140"/>
      <c r="BH19" s="140"/>
    </row>
    <row r="20" ht="28" customHeight="1" spans="1:60">
      <c r="A20" s="36"/>
      <c r="B20" s="43"/>
      <c r="C20" s="43"/>
      <c r="D20" s="45"/>
      <c r="E20" s="46" t="s">
        <v>17</v>
      </c>
      <c r="F20" s="46"/>
      <c r="G20" s="46"/>
      <c r="H20" s="52"/>
      <c r="I20" s="52"/>
      <c r="J20" s="52"/>
      <c r="K20" s="52"/>
      <c r="L20" s="43"/>
      <c r="M20" s="43"/>
      <c r="N20" s="43"/>
      <c r="O20" s="104"/>
      <c r="P20" s="98"/>
      <c r="AK20" s="140"/>
      <c r="AL20" s="140"/>
      <c r="AM20" s="140"/>
      <c r="AN20" s="140"/>
      <c r="AO20" s="140"/>
      <c r="AP20" s="140"/>
      <c r="AQ20" s="140"/>
      <c r="AR20" s="140"/>
      <c r="AS20" s="140"/>
      <c r="AT20" s="140"/>
      <c r="AU20" s="140"/>
      <c r="AV20" s="140"/>
      <c r="AW20" s="140"/>
      <c r="AX20" s="140"/>
      <c r="AY20" s="140"/>
      <c r="AZ20" s="140"/>
      <c r="BA20" s="140"/>
      <c r="BB20" s="140"/>
      <c r="BC20" s="140"/>
      <c r="BD20" s="140"/>
      <c r="BE20" s="140"/>
      <c r="BF20" s="140"/>
      <c r="BG20" s="140"/>
      <c r="BH20" s="140"/>
    </row>
    <row r="21" ht="30" customHeight="1" spans="1:60">
      <c r="A21" s="36"/>
      <c r="B21" s="43"/>
      <c r="C21" s="43"/>
      <c r="D21" s="45"/>
      <c r="E21" s="45"/>
      <c r="F21" s="45"/>
      <c r="G21" s="53"/>
      <c r="H21" s="53"/>
      <c r="I21" s="53"/>
      <c r="J21" s="105"/>
      <c r="K21" s="106"/>
      <c r="L21" s="106"/>
      <c r="M21" s="43"/>
      <c r="N21" s="43"/>
      <c r="O21" s="104"/>
      <c r="P21" s="98"/>
      <c r="AK21" s="140"/>
      <c r="AL21" s="140"/>
      <c r="AM21" s="140"/>
      <c r="AN21" s="140"/>
      <c r="AO21" s="140"/>
      <c r="AP21" s="140"/>
      <c r="AQ21" s="140"/>
      <c r="AR21" s="140"/>
      <c r="AS21" s="140"/>
      <c r="AT21" s="140"/>
      <c r="AU21" s="140"/>
      <c r="AV21" s="140"/>
      <c r="AW21" s="140"/>
      <c r="AX21" s="140"/>
      <c r="AY21" s="140"/>
      <c r="AZ21" s="140"/>
      <c r="BA21" s="140"/>
      <c r="BB21" s="140"/>
      <c r="BC21" s="140"/>
      <c r="BD21" s="140"/>
      <c r="BE21" s="140"/>
      <c r="BF21" s="140"/>
      <c r="BG21" s="140"/>
      <c r="BH21" s="140"/>
    </row>
    <row r="22" ht="19.5" customHeight="1" spans="1:60">
      <c r="A22" s="36"/>
      <c r="B22" s="54"/>
      <c r="C22" s="54"/>
      <c r="D22" s="55"/>
      <c r="E22" s="55"/>
      <c r="F22" s="55"/>
      <c r="G22" s="56"/>
      <c r="H22" s="56"/>
      <c r="I22" s="56"/>
      <c r="J22" s="105"/>
      <c r="K22" s="107"/>
      <c r="L22" s="107"/>
      <c r="M22" s="43"/>
      <c r="N22" s="43"/>
      <c r="O22" s="99"/>
      <c r="P22" s="98"/>
      <c r="AK22" s="140"/>
      <c r="AL22" s="140"/>
      <c r="AM22" s="140"/>
      <c r="AN22" s="140"/>
      <c r="AO22" s="140"/>
      <c r="AP22" s="140"/>
      <c r="AQ22" s="140"/>
      <c r="AR22" s="140"/>
      <c r="AS22" s="140"/>
      <c r="AT22" s="140"/>
      <c r="AU22" s="140"/>
      <c r="AV22" s="140"/>
      <c r="AW22" s="140"/>
      <c r="AX22" s="140"/>
      <c r="AY22" s="140"/>
      <c r="AZ22" s="140"/>
      <c r="BA22" s="140"/>
      <c r="BB22" s="140"/>
      <c r="BC22" s="140"/>
      <c r="BD22" s="140"/>
      <c r="BE22" s="140"/>
      <c r="BF22" s="140"/>
      <c r="BG22" s="140"/>
      <c r="BH22" s="140"/>
    </row>
    <row r="23" ht="21" customHeight="1" spans="1:60">
      <c r="A23" s="36"/>
      <c r="B23" s="57" t="s">
        <v>18</v>
      </c>
      <c r="C23" s="57"/>
      <c r="D23" s="57"/>
      <c r="E23" s="57"/>
      <c r="F23" s="57"/>
      <c r="G23" s="57"/>
      <c r="H23" s="57"/>
      <c r="I23" s="57"/>
      <c r="J23" s="57"/>
      <c r="K23" s="57"/>
      <c r="L23" s="57"/>
      <c r="M23" s="57"/>
      <c r="N23" s="57"/>
      <c r="O23" s="57"/>
      <c r="P23" s="98"/>
      <c r="AK23" s="140"/>
      <c r="AL23" s="140"/>
      <c r="AM23" s="140"/>
      <c r="AN23" s="140"/>
      <c r="AO23" s="140"/>
      <c r="AP23" s="140"/>
      <c r="AQ23" s="140"/>
      <c r="AR23" s="140"/>
      <c r="AS23" s="140"/>
      <c r="AT23" s="140"/>
      <c r="AU23" s="140"/>
      <c r="AV23" s="140"/>
      <c r="AW23" s="140"/>
      <c r="AX23" s="140"/>
      <c r="AY23" s="140"/>
      <c r="AZ23" s="140"/>
      <c r="BA23" s="140"/>
      <c r="BB23" s="140"/>
      <c r="BC23" s="140"/>
      <c r="BD23" s="140"/>
      <c r="BE23" s="140"/>
      <c r="BF23" s="140"/>
      <c r="BG23" s="140"/>
      <c r="BH23" s="140"/>
    </row>
    <row r="24" ht="15" customHeight="1" spans="1:60">
      <c r="A24" s="36"/>
      <c r="B24" s="58"/>
      <c r="C24" s="59"/>
      <c r="D24" s="59"/>
      <c r="E24" s="58"/>
      <c r="F24" s="60"/>
      <c r="G24" s="58"/>
      <c r="H24" s="61"/>
      <c r="I24" s="61"/>
      <c r="J24" s="108"/>
      <c r="K24" s="109"/>
      <c r="L24" s="109"/>
      <c r="M24" s="110"/>
      <c r="N24" s="110"/>
      <c r="O24" s="101"/>
      <c r="P24" s="98"/>
      <c r="AK24" s="140"/>
      <c r="AL24" s="140"/>
      <c r="AM24" s="140"/>
      <c r="AN24" s="140"/>
      <c r="AO24" s="140"/>
      <c r="AP24" s="140"/>
      <c r="AQ24" s="140"/>
      <c r="AR24" s="140"/>
      <c r="AS24" s="140"/>
      <c r="AT24" s="140"/>
      <c r="AU24" s="140"/>
      <c r="AV24" s="140"/>
      <c r="AW24" s="140"/>
      <c r="AX24" s="140"/>
      <c r="AY24" s="140"/>
      <c r="AZ24" s="140"/>
      <c r="BA24" s="140"/>
      <c r="BB24" s="140"/>
      <c r="BC24" s="140"/>
      <c r="BD24" s="140"/>
      <c r="BE24" s="140"/>
      <c r="BF24" s="140"/>
      <c r="BG24" s="140"/>
      <c r="BH24" s="140"/>
    </row>
    <row r="25" ht="29.3" customHeight="1" spans="1:60">
      <c r="A25" s="36"/>
      <c r="B25" s="62" t="s">
        <v>19</v>
      </c>
      <c r="C25" s="63">
        <f>H15</f>
        <v>0</v>
      </c>
      <c r="D25" s="64"/>
      <c r="E25" s="62" t="s">
        <v>20</v>
      </c>
      <c r="F25" s="65"/>
      <c r="G25" s="66"/>
      <c r="H25" s="67" t="s">
        <v>21</v>
      </c>
      <c r="I25" s="96"/>
      <c r="J25" s="111"/>
      <c r="K25" s="111"/>
      <c r="L25" s="62" t="s">
        <v>22</v>
      </c>
      <c r="M25" s="62"/>
      <c r="N25" s="97" t="str">
        <f ca="1">IF(J25&lt;&gt;"",DATEDIF(J25,TODAY(),"y"),"")</f>
        <v/>
      </c>
      <c r="O25" s="96"/>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row>
    <row r="26" ht="29.3" customHeight="1" spans="1:60">
      <c r="A26" s="36"/>
      <c r="B26" s="68" t="s">
        <v>23</v>
      </c>
      <c r="C26" s="68"/>
      <c r="D26" s="65"/>
      <c r="E26" s="69"/>
      <c r="F26" s="68" t="s">
        <v>24</v>
      </c>
      <c r="G26" s="68"/>
      <c r="H26" s="70"/>
      <c r="I26" s="112"/>
      <c r="J26" s="113" t="s">
        <v>25</v>
      </c>
      <c r="K26" s="96"/>
      <c r="L26" s="114"/>
      <c r="M26" s="114"/>
      <c r="N26" s="114"/>
      <c r="O26" s="114"/>
      <c r="P26" s="115" t="s">
        <v>26</v>
      </c>
      <c r="Q26" s="115" t="s">
        <v>27</v>
      </c>
      <c r="R26" s="130"/>
      <c r="S26" s="131"/>
      <c r="AK26" s="140"/>
      <c r="AL26" s="140"/>
      <c r="AM26" s="140"/>
      <c r="AN26" s="140"/>
      <c r="AO26" s="140"/>
      <c r="AP26" s="140"/>
      <c r="AQ26" s="140"/>
      <c r="AR26" s="140"/>
      <c r="AS26" s="140"/>
      <c r="AT26" s="140"/>
      <c r="AU26" s="140"/>
      <c r="AV26" s="140"/>
      <c r="AW26" s="140"/>
      <c r="AX26" s="140"/>
      <c r="AY26" s="140"/>
      <c r="AZ26" s="140"/>
      <c r="BA26" s="140"/>
      <c r="BB26" s="140"/>
      <c r="BC26" s="140"/>
      <c r="BD26" s="140"/>
      <c r="BE26" s="140"/>
      <c r="BF26" s="140"/>
      <c r="BG26" s="140"/>
      <c r="BH26" s="140"/>
    </row>
    <row r="27" ht="29.3" customHeight="1" spans="1:60">
      <c r="A27" s="36"/>
      <c r="B27" s="67" t="s">
        <v>28</v>
      </c>
      <c r="C27" s="71"/>
      <c r="D27" s="72"/>
      <c r="E27" s="73"/>
      <c r="F27" s="68" t="s">
        <v>29</v>
      </c>
      <c r="G27" s="68"/>
      <c r="H27" s="74" t="str">
        <f ca="1">IF(D27&lt;&gt;"",IF(MONTH(D27)&gt;MONTH(TODAY()),YEAR(TODAY())-YEAR(D27),YEAR(TODAY())+1-YEAR(D27)),"")</f>
        <v/>
      </c>
      <c r="I27" s="116" t="str">
        <f>IF(D27&lt;&gt;"","年","")</f>
        <v/>
      </c>
      <c r="J27" s="97" t="s">
        <v>30</v>
      </c>
      <c r="K27" s="96"/>
      <c r="L27" s="97" t="str">
        <f>IF(H14&lt;&gt;"",H14,"")</f>
        <v/>
      </c>
      <c r="M27" s="113"/>
      <c r="N27" s="113"/>
      <c r="O27" s="96"/>
      <c r="P27" s="117" t="str">
        <f ca="1">IF(OR(D26="博士",AND(D26="硕士",AND(H27&lt;&gt;"",H27&gt;=5)),AND(D26="学士",AND(H27&lt;&gt;"",H27&gt;=6)),AND(D26="无学位（本科毕业）",AND(H27&lt;&gt;"",H27&gt;=7))),"满足","不满足")</f>
        <v>不满足</v>
      </c>
      <c r="Q27" s="117" t="str">
        <f ca="1">IF(OR(AND(D26="博士",AND(N28&lt;&gt;"",N28&gt;=2)),AND(D26="硕士",AND(N28&lt;&gt;"",N28&gt;=5)),AND(N28&lt;&gt;"",N28&gt;=6)),"满足","不满足")</f>
        <v>不满足</v>
      </c>
      <c r="AK27" s="140"/>
      <c r="AL27" s="140"/>
      <c r="AM27" s="140"/>
      <c r="AN27" s="140"/>
      <c r="AO27" s="140"/>
      <c r="AP27" s="140"/>
      <c r="AQ27" s="140"/>
      <c r="AR27" s="140"/>
      <c r="AS27" s="140"/>
      <c r="AT27" s="140"/>
      <c r="AU27" s="140"/>
      <c r="AV27" s="140"/>
      <c r="AW27" s="140"/>
      <c r="AX27" s="140"/>
      <c r="AY27" s="140"/>
      <c r="AZ27" s="140"/>
      <c r="BA27" s="140"/>
      <c r="BB27" s="140"/>
      <c r="BC27" s="140"/>
      <c r="BD27" s="140"/>
      <c r="BE27" s="140"/>
      <c r="BF27" s="140"/>
      <c r="BG27" s="140"/>
      <c r="BH27" s="140"/>
    </row>
    <row r="28" ht="29.3" customHeight="1" spans="1:60">
      <c r="A28" s="36"/>
      <c r="B28" s="62" t="s">
        <v>31</v>
      </c>
      <c r="C28" s="62"/>
      <c r="D28" s="62">
        <f>H16</f>
        <v>0</v>
      </c>
      <c r="E28" s="62"/>
      <c r="F28" s="62"/>
      <c r="G28" s="62" t="s">
        <v>32</v>
      </c>
      <c r="H28" s="62"/>
      <c r="I28" s="118"/>
      <c r="J28" s="118"/>
      <c r="K28" s="62" t="s">
        <v>27</v>
      </c>
      <c r="L28" s="62"/>
      <c r="M28" s="62"/>
      <c r="N28" s="119" t="str">
        <f ca="1">IF(I28&lt;&gt;"",IF(MONTH(I28)&gt;MONTH(TODAY()),YEAR(TODAY())-YEAR(I28),YEAR(TODAY())+1-YEAR(I28)),"")</f>
        <v/>
      </c>
      <c r="O28" s="116" t="str">
        <f ca="1">IF(N28&lt;&gt;"","年","")</f>
        <v/>
      </c>
      <c r="P28" s="115" t="s">
        <v>33</v>
      </c>
      <c r="Q28" s="132" t="s">
        <v>34</v>
      </c>
      <c r="R28" s="133"/>
      <c r="AK28" s="140"/>
      <c r="AL28" s="140"/>
      <c r="AM28" s="140"/>
      <c r="AN28" s="140"/>
      <c r="AO28" s="140"/>
      <c r="AP28" s="140"/>
      <c r="AQ28" s="140"/>
      <c r="AR28" s="140"/>
      <c r="AS28" s="140"/>
      <c r="AT28" s="140"/>
      <c r="AU28" s="140"/>
      <c r="AV28" s="140"/>
      <c r="AW28" s="140"/>
      <c r="AX28" s="140"/>
      <c r="AY28" s="140"/>
      <c r="AZ28" s="140"/>
      <c r="BA28" s="140"/>
      <c r="BB28" s="140"/>
      <c r="BC28" s="140"/>
      <c r="BD28" s="140"/>
      <c r="BE28" s="140"/>
      <c r="BF28" s="140"/>
      <c r="BG28" s="140"/>
      <c r="BH28" s="140"/>
    </row>
    <row r="29" ht="29.3" customHeight="1" spans="1:60">
      <c r="A29" s="36"/>
      <c r="B29" s="62" t="s">
        <v>35</v>
      </c>
      <c r="C29" s="62"/>
      <c r="D29" s="75"/>
      <c r="E29" s="76"/>
      <c r="F29" s="76"/>
      <c r="G29" s="77"/>
      <c r="H29" s="68" t="s">
        <v>36</v>
      </c>
      <c r="I29" s="68"/>
      <c r="J29" s="82"/>
      <c r="K29" s="67" t="s">
        <v>37</v>
      </c>
      <c r="L29" s="113"/>
      <c r="M29" s="96"/>
      <c r="N29" s="120"/>
      <c r="O29" s="121"/>
      <c r="P29" s="117" t="str">
        <f>IF(N29&lt;&gt;"","满足","不满足")</f>
        <v>不满足</v>
      </c>
      <c r="Q29" s="134" t="str">
        <f>IF(J29&gt;=5,"满足","不满足")</f>
        <v>不满足</v>
      </c>
      <c r="R29" s="135"/>
      <c r="AK29" s="140"/>
      <c r="AL29" s="140"/>
      <c r="AM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row>
    <row r="30" ht="29.3" customHeight="1" spans="1:60">
      <c r="A30" s="36"/>
      <c r="B30" s="78" t="s">
        <v>38</v>
      </c>
      <c r="C30" s="78"/>
      <c r="D30" s="78"/>
      <c r="E30" s="78"/>
      <c r="F30" s="78"/>
      <c r="G30" s="78"/>
      <c r="H30" s="78"/>
      <c r="I30" s="78"/>
      <c r="J30" s="78"/>
      <c r="K30" s="78"/>
      <c r="L30" s="78"/>
      <c r="M30" s="78"/>
      <c r="N30" s="78"/>
      <c r="O30" s="78"/>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row>
    <row r="31" ht="29.3" customHeight="1" spans="1:60">
      <c r="A31" s="36"/>
      <c r="B31" s="68" t="s">
        <v>39</v>
      </c>
      <c r="C31" s="79" t="s">
        <v>40</v>
      </c>
      <c r="D31" s="80"/>
      <c r="E31" s="80"/>
      <c r="F31" s="81"/>
      <c r="G31" s="79" t="s">
        <v>41</v>
      </c>
      <c r="H31" s="80"/>
      <c r="I31" s="81"/>
      <c r="J31" s="79" t="s">
        <v>42</v>
      </c>
      <c r="K31" s="80"/>
      <c r="L31" s="80"/>
      <c r="M31" s="81"/>
      <c r="N31" s="62" t="s">
        <v>43</v>
      </c>
      <c r="O31" s="62" t="s">
        <v>44</v>
      </c>
      <c r="P31" s="32" t="s">
        <v>45</v>
      </c>
      <c r="Q31" s="134" t="s">
        <v>46</v>
      </c>
      <c r="R31" s="135"/>
      <c r="AK31" s="140"/>
      <c r="AL31" s="140"/>
      <c r="AM31" s="140"/>
      <c r="AN31" s="140"/>
      <c r="AO31" s="140"/>
      <c r="AP31" s="140"/>
      <c r="AQ31" s="140"/>
      <c r="AR31" s="140"/>
      <c r="AS31" s="140"/>
      <c r="AT31" s="140"/>
      <c r="AU31" s="140"/>
      <c r="AV31" s="140"/>
      <c r="AW31" s="140"/>
      <c r="AX31" s="140"/>
      <c r="AY31" s="140"/>
      <c r="AZ31" s="140"/>
      <c r="BA31" s="140"/>
      <c r="BB31" s="140"/>
      <c r="BC31" s="140"/>
      <c r="BD31" s="140"/>
      <c r="BE31" s="140"/>
      <c r="BF31" s="140"/>
      <c r="BG31" s="140"/>
      <c r="BH31" s="140"/>
    </row>
    <row r="32" ht="29.3" customHeight="1" spans="1:60">
      <c r="A32" s="36"/>
      <c r="B32" s="68"/>
      <c r="C32" s="82"/>
      <c r="D32" s="82"/>
      <c r="E32" s="82"/>
      <c r="F32" s="82"/>
      <c r="G32" s="82"/>
      <c r="H32" s="82"/>
      <c r="I32" s="82"/>
      <c r="J32" s="82"/>
      <c r="K32" s="82"/>
      <c r="L32" s="82"/>
      <c r="M32" s="82"/>
      <c r="N32" s="122"/>
      <c r="O32" s="122"/>
      <c r="P32" s="32">
        <f>COUNTA(C32:F34)</f>
        <v>0</v>
      </c>
      <c r="Q32" s="134" t="str">
        <f>IF(P32&gt;0,"满足","不满足")</f>
        <v>不满足</v>
      </c>
      <c r="R32" s="135"/>
      <c r="AK32" s="140"/>
      <c r="AL32" s="140"/>
      <c r="AM32" s="140"/>
      <c r="AN32" s="140"/>
      <c r="AO32" s="140"/>
      <c r="AP32" s="140"/>
      <c r="AQ32" s="140"/>
      <c r="AR32" s="140"/>
      <c r="AS32" s="140"/>
      <c r="AT32" s="140"/>
      <c r="AU32" s="140"/>
      <c r="AV32" s="140"/>
      <c r="AW32" s="140"/>
      <c r="AX32" s="140"/>
      <c r="AY32" s="140"/>
      <c r="AZ32" s="140"/>
      <c r="BA32" s="140"/>
      <c r="BB32" s="140"/>
      <c r="BC32" s="140"/>
      <c r="BD32" s="140"/>
      <c r="BE32" s="140"/>
      <c r="BF32" s="140"/>
      <c r="BG32" s="140"/>
      <c r="BH32" s="140"/>
    </row>
    <row r="33" ht="29.3" customHeight="1" spans="1:60">
      <c r="A33" s="36"/>
      <c r="B33" s="68"/>
      <c r="C33" s="83"/>
      <c r="D33" s="84"/>
      <c r="E33" s="84"/>
      <c r="F33" s="85"/>
      <c r="G33" s="83"/>
      <c r="H33" s="84"/>
      <c r="I33" s="85"/>
      <c r="J33" s="83"/>
      <c r="K33" s="84"/>
      <c r="L33" s="84"/>
      <c r="M33" s="85"/>
      <c r="N33" s="122"/>
      <c r="O33" s="122"/>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row>
    <row r="34" ht="29.3" customHeight="1" spans="1:60">
      <c r="A34" s="36"/>
      <c r="B34" s="68"/>
      <c r="C34" s="83"/>
      <c r="D34" s="84"/>
      <c r="E34" s="84"/>
      <c r="F34" s="85"/>
      <c r="G34" s="83"/>
      <c r="H34" s="84"/>
      <c r="I34" s="85"/>
      <c r="J34" s="83"/>
      <c r="K34" s="84"/>
      <c r="L34" s="84"/>
      <c r="M34" s="85"/>
      <c r="N34" s="122"/>
      <c r="O34" s="122"/>
      <c r="AK34" s="140"/>
      <c r="AL34" s="140"/>
      <c r="AM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row>
    <row r="35" ht="29.3" customHeight="1" spans="1:60">
      <c r="A35" s="36"/>
      <c r="B35" s="68" t="s">
        <v>47</v>
      </c>
      <c r="C35" s="79" t="s">
        <v>40</v>
      </c>
      <c r="D35" s="80"/>
      <c r="E35" s="80"/>
      <c r="F35" s="81"/>
      <c r="G35" s="79" t="s">
        <v>41</v>
      </c>
      <c r="H35" s="80"/>
      <c r="I35" s="81"/>
      <c r="J35" s="79" t="s">
        <v>42</v>
      </c>
      <c r="K35" s="80"/>
      <c r="L35" s="80"/>
      <c r="M35" s="81"/>
      <c r="N35" s="62" t="s">
        <v>43</v>
      </c>
      <c r="O35" s="62" t="s">
        <v>44</v>
      </c>
      <c r="P35" s="32" t="s">
        <v>48</v>
      </c>
      <c r="Q35" s="134" t="s">
        <v>49</v>
      </c>
      <c r="R35" s="135"/>
      <c r="AK35" s="140"/>
      <c r="AL35" s="140"/>
      <c r="AM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row>
    <row r="36" ht="29.3" customHeight="1" spans="1:60">
      <c r="A36" s="36"/>
      <c r="B36" s="68"/>
      <c r="C36" s="82"/>
      <c r="D36" s="82"/>
      <c r="E36" s="82"/>
      <c r="F36" s="82"/>
      <c r="G36" s="82"/>
      <c r="H36" s="82"/>
      <c r="I36" s="82"/>
      <c r="J36" s="82"/>
      <c r="K36" s="82"/>
      <c r="L36" s="82"/>
      <c r="M36" s="82"/>
      <c r="N36" s="122"/>
      <c r="O36" s="122"/>
      <c r="P36" s="32">
        <f>COUNTA(C36:F43)</f>
        <v>0</v>
      </c>
      <c r="Q36" s="134" t="str">
        <f>IF(P36&gt;=6,"满足","不满足")</f>
        <v>不满足</v>
      </c>
      <c r="R36" s="135"/>
      <c r="AK36" s="140"/>
      <c r="AL36" s="140"/>
      <c r="AM36" s="140"/>
      <c r="AN36" s="140"/>
      <c r="AO36" s="140"/>
      <c r="AP36" s="140"/>
      <c r="AQ36" s="140"/>
      <c r="AR36" s="140"/>
      <c r="AS36" s="140"/>
      <c r="AT36" s="140"/>
      <c r="AU36" s="140"/>
      <c r="AV36" s="140"/>
      <c r="AW36" s="140"/>
      <c r="AX36" s="140"/>
      <c r="AY36" s="140"/>
      <c r="AZ36" s="140"/>
      <c r="BA36" s="140"/>
      <c r="BB36" s="140"/>
      <c r="BC36" s="140"/>
      <c r="BD36" s="140"/>
      <c r="BE36" s="140"/>
      <c r="BF36" s="140"/>
      <c r="BG36" s="140"/>
      <c r="BH36" s="140"/>
    </row>
    <row r="37" ht="29.3" customHeight="1" spans="1:60">
      <c r="A37" s="36"/>
      <c r="B37" s="68"/>
      <c r="C37" s="82"/>
      <c r="D37" s="82"/>
      <c r="E37" s="82"/>
      <c r="F37" s="82"/>
      <c r="G37" s="83"/>
      <c r="H37" s="84"/>
      <c r="I37" s="85"/>
      <c r="J37" s="83"/>
      <c r="K37" s="84"/>
      <c r="L37" s="84"/>
      <c r="M37" s="85"/>
      <c r="N37" s="122"/>
      <c r="O37" s="122"/>
      <c r="P37" s="32"/>
      <c r="AK37" s="140"/>
      <c r="AL37" s="140"/>
      <c r="AM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row>
    <row r="38" ht="29.3" customHeight="1" spans="1:60">
      <c r="A38" s="36"/>
      <c r="B38" s="68"/>
      <c r="C38" s="82"/>
      <c r="D38" s="82"/>
      <c r="E38" s="82"/>
      <c r="F38" s="82"/>
      <c r="G38" s="83"/>
      <c r="H38" s="84"/>
      <c r="I38" s="85"/>
      <c r="J38" s="83"/>
      <c r="K38" s="84"/>
      <c r="L38" s="84"/>
      <c r="M38" s="85"/>
      <c r="N38" s="122"/>
      <c r="O38" s="122"/>
      <c r="P38" s="32"/>
      <c r="AK38" s="140"/>
      <c r="AL38" s="140"/>
      <c r="AM38" s="140"/>
      <c r="AN38" s="140"/>
      <c r="AO38" s="140"/>
      <c r="AP38" s="140"/>
      <c r="AQ38" s="140"/>
      <c r="AR38" s="140"/>
      <c r="AS38" s="140"/>
      <c r="AT38" s="140"/>
      <c r="AU38" s="140"/>
      <c r="AV38" s="140"/>
      <c r="AW38" s="140"/>
      <c r="AX38" s="140"/>
      <c r="AY38" s="140"/>
      <c r="AZ38" s="140"/>
      <c r="BA38" s="140"/>
      <c r="BB38" s="140"/>
      <c r="BC38" s="140"/>
      <c r="BD38" s="140"/>
      <c r="BE38" s="140"/>
      <c r="BF38" s="140"/>
      <c r="BG38" s="140"/>
      <c r="BH38" s="140"/>
    </row>
    <row r="39" ht="29.3" customHeight="1" spans="1:60">
      <c r="A39" s="36"/>
      <c r="B39" s="68"/>
      <c r="C39" s="82"/>
      <c r="D39" s="82"/>
      <c r="E39" s="82"/>
      <c r="F39" s="82"/>
      <c r="G39" s="83"/>
      <c r="H39" s="84"/>
      <c r="I39" s="85"/>
      <c r="J39" s="83"/>
      <c r="K39" s="84"/>
      <c r="L39" s="84"/>
      <c r="M39" s="85"/>
      <c r="N39" s="122"/>
      <c r="O39" s="122"/>
      <c r="P39" s="32"/>
      <c r="AK39" s="140"/>
      <c r="AL39" s="140"/>
      <c r="AM39" s="140"/>
      <c r="AN39" s="140"/>
      <c r="AO39" s="140"/>
      <c r="AP39" s="140"/>
      <c r="AQ39" s="140"/>
      <c r="AR39" s="140"/>
      <c r="AS39" s="140"/>
      <c r="AT39" s="140"/>
      <c r="AU39" s="140"/>
      <c r="AV39" s="140"/>
      <c r="AW39" s="140"/>
      <c r="AX39" s="140"/>
      <c r="AY39" s="140"/>
      <c r="AZ39" s="140"/>
      <c r="BA39" s="140"/>
      <c r="BB39" s="140"/>
      <c r="BC39" s="140"/>
      <c r="BD39" s="140"/>
      <c r="BE39" s="140"/>
      <c r="BF39" s="140"/>
      <c r="BG39" s="140"/>
      <c r="BH39" s="140"/>
    </row>
    <row r="40" ht="29.3" customHeight="1" spans="1:60">
      <c r="A40" s="36"/>
      <c r="B40" s="68"/>
      <c r="C40" s="82"/>
      <c r="D40" s="82"/>
      <c r="E40" s="82"/>
      <c r="F40" s="82"/>
      <c r="G40" s="83"/>
      <c r="H40" s="84"/>
      <c r="I40" s="85"/>
      <c r="J40" s="83"/>
      <c r="K40" s="84"/>
      <c r="L40" s="84"/>
      <c r="M40" s="85"/>
      <c r="N40" s="122"/>
      <c r="O40" s="122"/>
      <c r="P40" s="32"/>
      <c r="AK40" s="140"/>
      <c r="AL40" s="140"/>
      <c r="AM40" s="140"/>
      <c r="AN40" s="140"/>
      <c r="AO40" s="140"/>
      <c r="AP40" s="140"/>
      <c r="AQ40" s="140"/>
      <c r="AR40" s="140"/>
      <c r="AS40" s="140"/>
      <c r="AT40" s="140"/>
      <c r="AU40" s="140"/>
      <c r="AV40" s="140"/>
      <c r="AW40" s="140"/>
      <c r="AX40" s="140"/>
      <c r="AY40" s="140"/>
      <c r="AZ40" s="140"/>
      <c r="BA40" s="140"/>
      <c r="BB40" s="140"/>
      <c r="BC40" s="140"/>
      <c r="BD40" s="140"/>
      <c r="BE40" s="140"/>
      <c r="BF40" s="140"/>
      <c r="BG40" s="140"/>
      <c r="BH40" s="140"/>
    </row>
    <row r="41" ht="29.3" customHeight="1" spans="1:60">
      <c r="A41" s="36"/>
      <c r="B41" s="68"/>
      <c r="C41" s="82"/>
      <c r="D41" s="82"/>
      <c r="E41" s="82"/>
      <c r="F41" s="82"/>
      <c r="G41" s="83"/>
      <c r="H41" s="84"/>
      <c r="I41" s="85"/>
      <c r="J41" s="83"/>
      <c r="K41" s="84"/>
      <c r="L41" s="84"/>
      <c r="M41" s="85"/>
      <c r="N41" s="122"/>
      <c r="O41" s="122"/>
      <c r="P41" s="32"/>
      <c r="AK41" s="140"/>
      <c r="AL41" s="140"/>
      <c r="AM41" s="140"/>
      <c r="AN41" s="140"/>
      <c r="AO41" s="140"/>
      <c r="AP41" s="140"/>
      <c r="AQ41" s="140"/>
      <c r="AR41" s="140"/>
      <c r="AS41" s="140"/>
      <c r="AT41" s="140"/>
      <c r="AU41" s="140"/>
      <c r="AV41" s="140"/>
      <c r="AW41" s="140"/>
      <c r="AX41" s="140"/>
      <c r="AY41" s="140"/>
      <c r="AZ41" s="140"/>
      <c r="BA41" s="140"/>
      <c r="BB41" s="140"/>
      <c r="BC41" s="140"/>
      <c r="BD41" s="140"/>
      <c r="BE41" s="140"/>
      <c r="BF41" s="140"/>
      <c r="BG41" s="140"/>
      <c r="BH41" s="140"/>
    </row>
    <row r="42" ht="29.3" customHeight="1" spans="1:60">
      <c r="A42" s="36"/>
      <c r="B42" s="68"/>
      <c r="C42" s="82"/>
      <c r="D42" s="82"/>
      <c r="E42" s="82"/>
      <c r="F42" s="82"/>
      <c r="G42" s="83"/>
      <c r="H42" s="84"/>
      <c r="I42" s="85"/>
      <c r="J42" s="83"/>
      <c r="K42" s="84"/>
      <c r="L42" s="84"/>
      <c r="M42" s="85"/>
      <c r="N42" s="122"/>
      <c r="O42" s="122"/>
      <c r="AK42" s="140"/>
      <c r="AL42" s="140"/>
      <c r="AM42" s="140"/>
      <c r="AN42" s="140"/>
      <c r="AO42" s="140"/>
      <c r="AP42" s="140"/>
      <c r="AQ42" s="140"/>
      <c r="AR42" s="140"/>
      <c r="AS42" s="140"/>
      <c r="AT42" s="140"/>
      <c r="AU42" s="140"/>
      <c r="AV42" s="140"/>
      <c r="AW42" s="140"/>
      <c r="AX42" s="140"/>
      <c r="AY42" s="140"/>
      <c r="AZ42" s="140"/>
      <c r="BA42" s="140"/>
      <c r="BB42" s="140"/>
      <c r="BC42" s="140"/>
      <c r="BD42" s="140"/>
      <c r="BE42" s="140"/>
      <c r="BF42" s="140"/>
      <c r="BG42" s="140"/>
      <c r="BH42" s="140"/>
    </row>
    <row r="43" ht="29.3" customHeight="1" spans="1:60">
      <c r="A43" s="36"/>
      <c r="B43" s="68"/>
      <c r="C43" s="82"/>
      <c r="D43" s="82"/>
      <c r="E43" s="82"/>
      <c r="F43" s="82"/>
      <c r="G43" s="83"/>
      <c r="H43" s="84"/>
      <c r="I43" s="85"/>
      <c r="J43" s="83"/>
      <c r="K43" s="84"/>
      <c r="L43" s="84"/>
      <c r="M43" s="85"/>
      <c r="N43" s="122"/>
      <c r="O43" s="122"/>
      <c r="AK43" s="140"/>
      <c r="AL43" s="140"/>
      <c r="AM43" s="140"/>
      <c r="AN43" s="140"/>
      <c r="AO43" s="140"/>
      <c r="AP43" s="140"/>
      <c r="AQ43" s="140"/>
      <c r="AR43" s="140"/>
      <c r="AS43" s="140"/>
      <c r="AT43" s="140"/>
      <c r="AU43" s="140"/>
      <c r="AV43" s="140"/>
      <c r="AW43" s="140"/>
      <c r="AX43" s="140"/>
      <c r="AY43" s="140"/>
      <c r="AZ43" s="140"/>
      <c r="BA43" s="140"/>
      <c r="BB43" s="140"/>
      <c r="BC43" s="140"/>
      <c r="BD43" s="140"/>
      <c r="BE43" s="140"/>
      <c r="BF43" s="140"/>
      <c r="BG43" s="140"/>
      <c r="BH43" s="140"/>
    </row>
    <row r="44" ht="29.3" customHeight="1" spans="1:60">
      <c r="A44" s="36"/>
      <c r="B44" s="68" t="s">
        <v>50</v>
      </c>
      <c r="C44" s="86" t="str">
        <f ca="1" t="shared" ref="C44:C47" si="0">CONCATENATE(YEAR(TODAY())-5,"-",YEAR(TODAY())-4,"学年")</f>
        <v>2018-2019学年</v>
      </c>
      <c r="D44" s="87"/>
      <c r="E44" s="86" t="str">
        <f ca="1" t="shared" ref="E44:E47" si="1">CONCATENATE(YEAR(TODAY())-4,"-",YEAR(TODAY())-3,"学年")</f>
        <v>2019-2020学年</v>
      </c>
      <c r="F44" s="87"/>
      <c r="G44" s="79" t="str">
        <f ca="1" t="shared" ref="G44:G47" si="2">CONCATENATE(YEAR(TODAY())-3,"-",YEAR(TODAY())-2,"学年")</f>
        <v>2020-2021学年</v>
      </c>
      <c r="H44" s="81"/>
      <c r="I44" s="97" t="str">
        <f ca="1" t="shared" ref="I44:I47" si="3">CONCATENATE(YEAR(TODAY())-2,"-",YEAR(TODAY())-1,"学年")</f>
        <v>2021-2022学年</v>
      </c>
      <c r="J44" s="123"/>
      <c r="K44" s="97" t="str">
        <f ca="1" t="shared" ref="K44:K47" si="4">CONCATENATE(YEAR(TODAY())-1,"-",YEAR(TODAY()),"学年")</f>
        <v>2022-2023学年</v>
      </c>
      <c r="L44" s="96"/>
      <c r="M44" s="68" t="s">
        <v>51</v>
      </c>
      <c r="N44" s="62" t="s">
        <v>43</v>
      </c>
      <c r="O44" s="62" t="s">
        <v>44</v>
      </c>
      <c r="P44" s="32" t="s">
        <v>52</v>
      </c>
      <c r="Q44" s="134" t="s">
        <v>53</v>
      </c>
      <c r="R44" s="135"/>
      <c r="AK44" s="140"/>
      <c r="AL44" s="140"/>
      <c r="AM44" s="140"/>
      <c r="AN44" s="140"/>
      <c r="AO44" s="140"/>
      <c r="AP44" s="140"/>
      <c r="AQ44" s="140"/>
      <c r="AR44" s="140"/>
      <c r="AS44" s="140"/>
      <c r="AT44" s="140"/>
      <c r="AU44" s="140"/>
      <c r="AV44" s="140"/>
      <c r="AW44" s="140"/>
      <c r="AX44" s="140"/>
      <c r="AY44" s="140"/>
      <c r="AZ44" s="140"/>
      <c r="BA44" s="140"/>
      <c r="BB44" s="140"/>
      <c r="BC44" s="140"/>
      <c r="BD44" s="140"/>
      <c r="BE44" s="140"/>
      <c r="BF44" s="140"/>
      <c r="BG44" s="140"/>
      <c r="BH44" s="140"/>
    </row>
    <row r="45" ht="29.3" customHeight="1" spans="1:60">
      <c r="A45" s="36"/>
      <c r="B45" s="68"/>
      <c r="C45" s="83"/>
      <c r="D45" s="85"/>
      <c r="E45" s="83"/>
      <c r="F45" s="85"/>
      <c r="G45" s="83"/>
      <c r="H45" s="85"/>
      <c r="I45" s="83"/>
      <c r="J45" s="85"/>
      <c r="K45" s="83"/>
      <c r="L45" s="85"/>
      <c r="M45" s="68" t="str">
        <f>IF(SUM(C45:L45)&gt;0,SUM(C45:L45)/5,"")</f>
        <v/>
      </c>
      <c r="N45" s="122"/>
      <c r="O45" s="122"/>
      <c r="P45" s="32">
        <f>IF(AND(M45&gt;=160,M45&lt;200),2,IF(AND(M45&gt;=200,M45&lt;240),3,IF(AND(M45&lt;&gt;"",M45&gt;=240),4,0)))</f>
        <v>0</v>
      </c>
      <c r="Q45" s="134">
        <f>IF(AND(P45&lt;&gt;"",P45&gt;0),1,0)</f>
        <v>0</v>
      </c>
      <c r="R45" s="135"/>
      <c r="AK45" s="140"/>
      <c r="AL45" s="140"/>
      <c r="AM45" s="140"/>
      <c r="AN45" s="140"/>
      <c r="AO45" s="140"/>
      <c r="AP45" s="140"/>
      <c r="AQ45" s="140"/>
      <c r="AR45" s="140"/>
      <c r="AS45" s="140"/>
      <c r="AT45" s="140"/>
      <c r="AU45" s="140"/>
      <c r="AV45" s="140"/>
      <c r="AW45" s="140"/>
      <c r="AX45" s="140"/>
      <c r="AY45" s="140"/>
      <c r="AZ45" s="140"/>
      <c r="BA45" s="140"/>
      <c r="BB45" s="140"/>
      <c r="BC45" s="140"/>
      <c r="BD45" s="140"/>
      <c r="BE45" s="140"/>
      <c r="BF45" s="140"/>
      <c r="BG45" s="140"/>
      <c r="BH45" s="140"/>
    </row>
    <row r="46" ht="29.3" customHeight="1" spans="1:60">
      <c r="A46" s="36"/>
      <c r="B46" s="68" t="s">
        <v>54</v>
      </c>
      <c r="C46" s="88" t="s">
        <v>55</v>
      </c>
      <c r="D46" s="89"/>
      <c r="E46" s="89"/>
      <c r="F46" s="89"/>
      <c r="G46" s="89"/>
      <c r="H46" s="89"/>
      <c r="I46" s="89"/>
      <c r="J46" s="89"/>
      <c r="K46" s="89"/>
      <c r="L46" s="124"/>
      <c r="M46" s="90" t="s">
        <v>56</v>
      </c>
      <c r="N46" s="125" t="s">
        <v>43</v>
      </c>
      <c r="O46" s="125" t="s">
        <v>44</v>
      </c>
      <c r="P46" s="126" t="s">
        <v>52</v>
      </c>
      <c r="Q46" s="136" t="s">
        <v>53</v>
      </c>
      <c r="R46" s="137"/>
      <c r="AK46" s="140"/>
      <c r="AL46" s="140"/>
      <c r="AM46" s="140"/>
      <c r="AN46" s="140"/>
      <c r="AO46" s="140"/>
      <c r="AP46" s="140"/>
      <c r="AQ46" s="140"/>
      <c r="AR46" s="140"/>
      <c r="AS46" s="140"/>
      <c r="AT46" s="140"/>
      <c r="AU46" s="140"/>
      <c r="AV46" s="140"/>
      <c r="AW46" s="140"/>
      <c r="AX46" s="140"/>
      <c r="AY46" s="140"/>
      <c r="AZ46" s="140"/>
      <c r="BA46" s="140"/>
      <c r="BB46" s="140"/>
      <c r="BC46" s="140"/>
      <c r="BD46" s="140"/>
      <c r="BE46" s="140"/>
      <c r="BF46" s="140"/>
      <c r="BG46" s="140"/>
      <c r="BH46" s="140"/>
    </row>
    <row r="47" ht="29.3" customHeight="1" spans="1:60">
      <c r="A47" s="36"/>
      <c r="B47" s="68"/>
      <c r="C47" s="86" t="str">
        <f ca="1" t="shared" si="0"/>
        <v>2018-2019学年</v>
      </c>
      <c r="D47" s="87"/>
      <c r="E47" s="86" t="str">
        <f ca="1" t="shared" si="1"/>
        <v>2019-2020学年</v>
      </c>
      <c r="F47" s="87"/>
      <c r="G47" s="79" t="str">
        <f ca="1" t="shared" si="2"/>
        <v>2020-2021学年</v>
      </c>
      <c r="H47" s="81"/>
      <c r="I47" s="97" t="str">
        <f ca="1" t="shared" si="3"/>
        <v>2021-2022学年</v>
      </c>
      <c r="J47" s="123"/>
      <c r="K47" s="97" t="str">
        <f ca="1" t="shared" si="4"/>
        <v>2022-2023学年</v>
      </c>
      <c r="L47" s="96"/>
      <c r="M47" s="95"/>
      <c r="N47" s="127"/>
      <c r="O47" s="127"/>
      <c r="P47" s="128"/>
      <c r="Q47" s="138"/>
      <c r="R47" s="139"/>
      <c r="AK47" s="140"/>
      <c r="AL47" s="140"/>
      <c r="AM47" s="140"/>
      <c r="AN47" s="140"/>
      <c r="AO47" s="140"/>
      <c r="AP47" s="140"/>
      <c r="AQ47" s="140"/>
      <c r="AR47" s="140"/>
      <c r="AS47" s="140"/>
      <c r="AT47" s="140"/>
      <c r="AU47" s="140"/>
      <c r="AV47" s="140"/>
      <c r="AW47" s="140"/>
      <c r="AX47" s="140"/>
      <c r="AY47" s="140"/>
      <c r="AZ47" s="140"/>
      <c r="BA47" s="140"/>
      <c r="BB47" s="140"/>
      <c r="BC47" s="140"/>
      <c r="BD47" s="140"/>
      <c r="BE47" s="140"/>
      <c r="BF47" s="140"/>
      <c r="BG47" s="140"/>
      <c r="BH47" s="140"/>
    </row>
    <row r="48" ht="29.3" customHeight="1" spans="1:60">
      <c r="A48" s="36"/>
      <c r="B48" s="68"/>
      <c r="C48" s="83"/>
      <c r="D48" s="85"/>
      <c r="E48" s="83"/>
      <c r="F48" s="85"/>
      <c r="G48" s="83"/>
      <c r="H48" s="85"/>
      <c r="I48" s="83"/>
      <c r="J48" s="85"/>
      <c r="K48" s="83"/>
      <c r="L48" s="85"/>
      <c r="M48" s="68" t="str">
        <f>IF(SUM(C48:L48)&gt;0,SUM(C48:L48)/5,"")</f>
        <v/>
      </c>
      <c r="N48" s="122"/>
      <c r="O48" s="122"/>
      <c r="P48" s="32">
        <f>IF(AND(M48&gt;=1,M48&lt;2),2,IF(AND(M48&lt;&gt;"",M48&gt;=2),3,0))</f>
        <v>0</v>
      </c>
      <c r="Q48" s="134">
        <f>IF(AND(P48&lt;&gt;"",P48&gt;0),1,0)</f>
        <v>0</v>
      </c>
      <c r="R48" s="135"/>
      <c r="AK48" s="140"/>
      <c r="AL48" s="140"/>
      <c r="AM48" s="140"/>
      <c r="AN48" s="140"/>
      <c r="AO48" s="140"/>
      <c r="AP48" s="140"/>
      <c r="AQ48" s="140"/>
      <c r="AR48" s="140"/>
      <c r="AS48" s="140"/>
      <c r="AT48" s="140"/>
      <c r="AU48" s="140"/>
      <c r="AV48" s="140"/>
      <c r="AW48" s="140"/>
      <c r="AX48" s="140"/>
      <c r="AY48" s="140"/>
      <c r="AZ48" s="140"/>
      <c r="BA48" s="140"/>
      <c r="BB48" s="140"/>
      <c r="BC48" s="140"/>
      <c r="BD48" s="140"/>
      <c r="BE48" s="140"/>
      <c r="BF48" s="140"/>
      <c r="BG48" s="140"/>
      <c r="BH48" s="140"/>
    </row>
    <row r="49" ht="29.3" customHeight="1" spans="1:60">
      <c r="A49" s="36"/>
      <c r="B49" s="90" t="s">
        <v>57</v>
      </c>
      <c r="C49" s="79" t="s">
        <v>58</v>
      </c>
      <c r="D49" s="81"/>
      <c r="E49" s="79" t="s">
        <v>59</v>
      </c>
      <c r="F49" s="81"/>
      <c r="G49" s="79" t="s">
        <v>60</v>
      </c>
      <c r="H49" s="80"/>
      <c r="I49" s="81"/>
      <c r="J49" s="79" t="s">
        <v>61</v>
      </c>
      <c r="K49" s="81"/>
      <c r="L49" s="79" t="s">
        <v>62</v>
      </c>
      <c r="M49" s="81"/>
      <c r="N49" s="62" t="s">
        <v>43</v>
      </c>
      <c r="O49" s="62" t="s">
        <v>44</v>
      </c>
      <c r="P49" s="32" t="s">
        <v>63</v>
      </c>
      <c r="Q49" s="32" t="s">
        <v>64</v>
      </c>
      <c r="R49" s="130" t="s">
        <v>65</v>
      </c>
      <c r="S49" s="131" t="s">
        <v>66</v>
      </c>
      <c r="T49" s="115" t="s">
        <v>67</v>
      </c>
      <c r="AK49" s="140"/>
      <c r="AL49" s="140"/>
      <c r="AM49" s="140"/>
      <c r="AN49" s="140"/>
      <c r="AO49" s="140"/>
      <c r="AP49" s="140"/>
      <c r="AQ49" s="140"/>
      <c r="AR49" s="140"/>
      <c r="AS49" s="140"/>
      <c r="AT49" s="140"/>
      <c r="AU49" s="140"/>
      <c r="AV49" s="140"/>
      <c r="AW49" s="140"/>
      <c r="AX49" s="140"/>
      <c r="AY49" s="140"/>
      <c r="AZ49" s="140"/>
      <c r="BA49" s="140"/>
      <c r="BB49" s="140"/>
      <c r="BC49" s="140"/>
      <c r="BD49" s="140"/>
      <c r="BE49" s="140"/>
      <c r="BF49" s="140"/>
      <c r="BG49" s="140"/>
      <c r="BH49" s="140"/>
    </row>
    <row r="50" ht="29.3" customHeight="1" spans="1:60">
      <c r="A50" s="36"/>
      <c r="B50" s="91"/>
      <c r="C50" s="92"/>
      <c r="D50" s="93"/>
      <c r="E50" s="92"/>
      <c r="F50" s="93"/>
      <c r="G50" s="92"/>
      <c r="H50" s="94"/>
      <c r="I50" s="93"/>
      <c r="J50" s="92"/>
      <c r="K50" s="93"/>
      <c r="L50" s="92"/>
      <c r="M50" s="93"/>
      <c r="N50" s="122"/>
      <c r="O50" s="122"/>
      <c r="P50" s="32">
        <f>IF(SUM(L50:M61)/3&gt;=60,3,0)</f>
        <v>0</v>
      </c>
      <c r="Q50" s="32">
        <f>IF(SUM(R50:S50)&gt;0,2,0)</f>
        <v>0</v>
      </c>
      <c r="R50" s="32">
        <f>COUNTIF(C50:D61,"国培项目")</f>
        <v>0</v>
      </c>
      <c r="S50" s="32">
        <f>COUNTIF(C50:D61,"境外线上线下培训")</f>
        <v>0</v>
      </c>
      <c r="T50" s="32" t="str">
        <f>IF(P50&gt;0,"满足","不满足")</f>
        <v>不满足</v>
      </c>
      <c r="AK50" s="140"/>
      <c r="AL50" s="140"/>
      <c r="AM50" s="140"/>
      <c r="AN50" s="140"/>
      <c r="AO50" s="140"/>
      <c r="AP50" s="140"/>
      <c r="AQ50" s="140"/>
      <c r="AR50" s="140"/>
      <c r="AS50" s="140"/>
      <c r="AT50" s="140"/>
      <c r="AU50" s="140"/>
      <c r="AV50" s="140"/>
      <c r="AW50" s="140"/>
      <c r="AX50" s="140"/>
      <c r="AY50" s="140"/>
      <c r="AZ50" s="140"/>
      <c r="BA50" s="140"/>
      <c r="BB50" s="140"/>
      <c r="BC50" s="140"/>
      <c r="BD50" s="140"/>
      <c r="BE50" s="140"/>
      <c r="BF50" s="140"/>
      <c r="BG50" s="140"/>
      <c r="BH50" s="140"/>
    </row>
    <row r="51" ht="29.3" customHeight="1" spans="1:60">
      <c r="A51" s="36"/>
      <c r="B51" s="91"/>
      <c r="C51" s="92"/>
      <c r="D51" s="93"/>
      <c r="E51" s="92"/>
      <c r="F51" s="93"/>
      <c r="G51" s="92"/>
      <c r="H51" s="94"/>
      <c r="I51" s="93"/>
      <c r="J51" s="92"/>
      <c r="K51" s="93"/>
      <c r="L51" s="92"/>
      <c r="M51" s="93"/>
      <c r="N51" s="122"/>
      <c r="O51" s="122"/>
      <c r="AK51" s="140"/>
      <c r="AL51" s="140"/>
      <c r="AM51" s="140"/>
      <c r="AN51" s="140"/>
      <c r="AO51" s="140"/>
      <c r="AP51" s="140"/>
      <c r="AQ51" s="140"/>
      <c r="AR51" s="140"/>
      <c r="AS51" s="140"/>
      <c r="AT51" s="140"/>
      <c r="AU51" s="140"/>
      <c r="AV51" s="140"/>
      <c r="AW51" s="140"/>
      <c r="AX51" s="140"/>
      <c r="AY51" s="140"/>
      <c r="AZ51" s="140"/>
      <c r="BA51" s="140"/>
      <c r="BB51" s="140"/>
      <c r="BC51" s="140"/>
      <c r="BD51" s="140"/>
      <c r="BE51" s="140"/>
      <c r="BF51" s="140"/>
      <c r="BG51" s="140"/>
      <c r="BH51" s="140"/>
    </row>
    <row r="52" ht="29.3" customHeight="1" spans="1:60">
      <c r="A52" s="36"/>
      <c r="B52" s="91"/>
      <c r="C52" s="92"/>
      <c r="D52" s="93"/>
      <c r="E52" s="92"/>
      <c r="F52" s="93"/>
      <c r="G52" s="92"/>
      <c r="H52" s="94"/>
      <c r="I52" s="93"/>
      <c r="J52" s="92"/>
      <c r="K52" s="93"/>
      <c r="L52" s="92"/>
      <c r="M52" s="93"/>
      <c r="N52" s="122"/>
      <c r="O52" s="122"/>
      <c r="AK52" s="140"/>
      <c r="AL52" s="140"/>
      <c r="AM52" s="140"/>
      <c r="AN52" s="140"/>
      <c r="AO52" s="140"/>
      <c r="AP52" s="140"/>
      <c r="AQ52" s="140"/>
      <c r="AR52" s="140"/>
      <c r="AS52" s="140"/>
      <c r="AT52" s="140"/>
      <c r="AU52" s="140"/>
      <c r="AV52" s="140"/>
      <c r="AW52" s="140"/>
      <c r="AX52" s="140"/>
      <c r="AY52" s="140"/>
      <c r="AZ52" s="140"/>
      <c r="BA52" s="140"/>
      <c r="BB52" s="140"/>
      <c r="BC52" s="140"/>
      <c r="BD52" s="140"/>
      <c r="BE52" s="140"/>
      <c r="BF52" s="140"/>
      <c r="BG52" s="140"/>
      <c r="BH52" s="140"/>
    </row>
    <row r="53" ht="29.3" customHeight="1" spans="1:60">
      <c r="A53" s="36"/>
      <c r="B53" s="91"/>
      <c r="C53" s="92"/>
      <c r="D53" s="93"/>
      <c r="E53" s="92"/>
      <c r="F53" s="93"/>
      <c r="G53" s="92"/>
      <c r="H53" s="94"/>
      <c r="I53" s="93"/>
      <c r="J53" s="92"/>
      <c r="K53" s="93"/>
      <c r="L53" s="92"/>
      <c r="M53" s="93"/>
      <c r="N53" s="122"/>
      <c r="O53" s="122"/>
      <c r="AK53" s="140"/>
      <c r="AL53" s="140"/>
      <c r="AM53" s="140"/>
      <c r="AN53" s="140"/>
      <c r="AO53" s="140"/>
      <c r="AP53" s="140"/>
      <c r="AQ53" s="140"/>
      <c r="AR53" s="140"/>
      <c r="AS53" s="140"/>
      <c r="AT53" s="140"/>
      <c r="AU53" s="140"/>
      <c r="AV53" s="140"/>
      <c r="AW53" s="140"/>
      <c r="AX53" s="140"/>
      <c r="AY53" s="140"/>
      <c r="AZ53" s="140"/>
      <c r="BA53" s="140"/>
      <c r="BB53" s="140"/>
      <c r="BC53" s="140"/>
      <c r="BD53" s="140"/>
      <c r="BE53" s="140"/>
      <c r="BF53" s="140"/>
      <c r="BG53" s="140"/>
      <c r="BH53" s="140"/>
    </row>
    <row r="54" ht="29.3" customHeight="1" spans="1:60">
      <c r="A54" s="36"/>
      <c r="B54" s="91"/>
      <c r="C54" s="92"/>
      <c r="D54" s="93"/>
      <c r="E54" s="92"/>
      <c r="F54" s="93"/>
      <c r="G54" s="92"/>
      <c r="H54" s="94"/>
      <c r="I54" s="93"/>
      <c r="J54" s="92"/>
      <c r="K54" s="93"/>
      <c r="L54" s="92"/>
      <c r="M54" s="93"/>
      <c r="N54" s="122"/>
      <c r="O54" s="122"/>
      <c r="AK54" s="140"/>
      <c r="AL54" s="140"/>
      <c r="AM54" s="140"/>
      <c r="AN54" s="140"/>
      <c r="AO54" s="140"/>
      <c r="AP54" s="140"/>
      <c r="AQ54" s="140"/>
      <c r="AR54" s="140"/>
      <c r="AS54" s="140"/>
      <c r="AT54" s="140"/>
      <c r="AU54" s="140"/>
      <c r="AV54" s="140"/>
      <c r="AW54" s="140"/>
      <c r="AX54" s="140"/>
      <c r="AY54" s="140"/>
      <c r="AZ54" s="140"/>
      <c r="BA54" s="140"/>
      <c r="BB54" s="140"/>
      <c r="BC54" s="140"/>
      <c r="BD54" s="140"/>
      <c r="BE54" s="140"/>
      <c r="BF54" s="140"/>
      <c r="BG54" s="140"/>
      <c r="BH54" s="140"/>
    </row>
    <row r="55" ht="29.3" customHeight="1" spans="1:60">
      <c r="A55" s="36"/>
      <c r="B55" s="91"/>
      <c r="C55" s="92"/>
      <c r="D55" s="93"/>
      <c r="E55" s="92"/>
      <c r="F55" s="93"/>
      <c r="G55" s="92"/>
      <c r="H55" s="94"/>
      <c r="I55" s="93"/>
      <c r="J55" s="92"/>
      <c r="K55" s="93"/>
      <c r="L55" s="92"/>
      <c r="M55" s="93"/>
      <c r="N55" s="122"/>
      <c r="O55" s="122"/>
      <c r="AK55" s="140"/>
      <c r="AL55" s="140"/>
      <c r="AM55" s="140"/>
      <c r="AN55" s="140"/>
      <c r="AO55" s="140"/>
      <c r="AP55" s="140"/>
      <c r="AQ55" s="140"/>
      <c r="AR55" s="140"/>
      <c r="AS55" s="140"/>
      <c r="AT55" s="140"/>
      <c r="AU55" s="140"/>
      <c r="AV55" s="140"/>
      <c r="AW55" s="140"/>
      <c r="AX55" s="140"/>
      <c r="AY55" s="140"/>
      <c r="AZ55" s="140"/>
      <c r="BA55" s="140"/>
      <c r="BB55" s="140"/>
      <c r="BC55" s="140"/>
      <c r="BD55" s="140"/>
      <c r="BE55" s="140"/>
      <c r="BF55" s="140"/>
      <c r="BG55" s="140"/>
      <c r="BH55" s="140"/>
    </row>
    <row r="56" ht="29.3" customHeight="1" spans="1:60">
      <c r="A56" s="36"/>
      <c r="B56" s="91"/>
      <c r="C56" s="92"/>
      <c r="D56" s="93"/>
      <c r="E56" s="92"/>
      <c r="F56" s="93"/>
      <c r="G56" s="92"/>
      <c r="H56" s="94"/>
      <c r="I56" s="93"/>
      <c r="J56" s="92"/>
      <c r="K56" s="93"/>
      <c r="L56" s="92"/>
      <c r="M56" s="93"/>
      <c r="N56" s="122"/>
      <c r="O56" s="122"/>
      <c r="AK56" s="140"/>
      <c r="AL56" s="140"/>
      <c r="AM56" s="140"/>
      <c r="AN56" s="140"/>
      <c r="AO56" s="140"/>
      <c r="AP56" s="140"/>
      <c r="AQ56" s="140"/>
      <c r="AR56" s="140"/>
      <c r="AS56" s="140"/>
      <c r="AT56" s="140"/>
      <c r="AU56" s="140"/>
      <c r="AV56" s="140"/>
      <c r="AW56" s="140"/>
      <c r="AX56" s="140"/>
      <c r="AY56" s="140"/>
      <c r="AZ56" s="140"/>
      <c r="BA56" s="140"/>
      <c r="BB56" s="140"/>
      <c r="BC56" s="140"/>
      <c r="BD56" s="140"/>
      <c r="BE56" s="140"/>
      <c r="BF56" s="140"/>
      <c r="BG56" s="140"/>
      <c r="BH56" s="140"/>
    </row>
    <row r="57" ht="29.3" customHeight="1" spans="1:60">
      <c r="A57" s="36"/>
      <c r="B57" s="91"/>
      <c r="C57" s="92"/>
      <c r="D57" s="93"/>
      <c r="E57" s="92"/>
      <c r="F57" s="93"/>
      <c r="G57" s="92"/>
      <c r="H57" s="94"/>
      <c r="I57" s="93"/>
      <c r="J57" s="92"/>
      <c r="K57" s="93"/>
      <c r="L57" s="92"/>
      <c r="M57" s="93"/>
      <c r="N57" s="122"/>
      <c r="O57" s="122"/>
      <c r="AK57" s="140"/>
      <c r="AL57" s="140"/>
      <c r="AM57" s="140"/>
      <c r="AN57" s="140"/>
      <c r="AO57" s="140"/>
      <c r="AP57" s="140"/>
      <c r="AQ57" s="140"/>
      <c r="AR57" s="140"/>
      <c r="AS57" s="140"/>
      <c r="AT57" s="140"/>
      <c r="AU57" s="140"/>
      <c r="AV57" s="140"/>
      <c r="AW57" s="140"/>
      <c r="AX57" s="140"/>
      <c r="AY57" s="140"/>
      <c r="AZ57" s="140"/>
      <c r="BA57" s="140"/>
      <c r="BB57" s="140"/>
      <c r="BC57" s="140"/>
      <c r="BD57" s="140"/>
      <c r="BE57" s="140"/>
      <c r="BF57" s="140"/>
      <c r="BG57" s="140"/>
      <c r="BH57" s="140"/>
    </row>
    <row r="58" ht="29.3" customHeight="1" spans="1:60">
      <c r="A58" s="36"/>
      <c r="B58" s="91"/>
      <c r="C58" s="92"/>
      <c r="D58" s="93"/>
      <c r="E58" s="92"/>
      <c r="F58" s="93"/>
      <c r="G58" s="92"/>
      <c r="H58" s="94"/>
      <c r="I58" s="93"/>
      <c r="J58" s="92"/>
      <c r="K58" s="93"/>
      <c r="L58" s="92"/>
      <c r="M58" s="93"/>
      <c r="N58" s="122"/>
      <c r="O58" s="122"/>
      <c r="AK58" s="140"/>
      <c r="AL58" s="140"/>
      <c r="AM58" s="140"/>
      <c r="AN58" s="140"/>
      <c r="AO58" s="140"/>
      <c r="AP58" s="140"/>
      <c r="AQ58" s="140"/>
      <c r="AR58" s="140"/>
      <c r="AS58" s="140"/>
      <c r="AT58" s="140"/>
      <c r="AU58" s="140"/>
      <c r="AV58" s="140"/>
      <c r="AW58" s="140"/>
      <c r="AX58" s="140"/>
      <c r="AY58" s="140"/>
      <c r="AZ58" s="140"/>
      <c r="BA58" s="140"/>
      <c r="BB58" s="140"/>
      <c r="BC58" s="140"/>
      <c r="BD58" s="140"/>
      <c r="BE58" s="140"/>
      <c r="BF58" s="140"/>
      <c r="BG58" s="140"/>
      <c r="BH58" s="140"/>
    </row>
    <row r="59" ht="29.3" customHeight="1" spans="1:60">
      <c r="A59" s="36"/>
      <c r="B59" s="91"/>
      <c r="C59" s="92"/>
      <c r="D59" s="93"/>
      <c r="E59" s="92"/>
      <c r="F59" s="93"/>
      <c r="G59" s="92"/>
      <c r="H59" s="94"/>
      <c r="I59" s="93"/>
      <c r="J59" s="92"/>
      <c r="K59" s="93"/>
      <c r="L59" s="92"/>
      <c r="M59" s="93"/>
      <c r="N59" s="122"/>
      <c r="O59" s="122"/>
      <c r="AK59" s="140"/>
      <c r="AL59" s="140"/>
      <c r="AM59" s="140"/>
      <c r="AN59" s="140"/>
      <c r="AO59" s="140"/>
      <c r="AP59" s="140"/>
      <c r="AQ59" s="140"/>
      <c r="AR59" s="140"/>
      <c r="AS59" s="140"/>
      <c r="AT59" s="140"/>
      <c r="AU59" s="140"/>
      <c r="AV59" s="140"/>
      <c r="AW59" s="140"/>
      <c r="AX59" s="140"/>
      <c r="AY59" s="140"/>
      <c r="AZ59" s="140"/>
      <c r="BA59" s="140"/>
      <c r="BB59" s="140"/>
      <c r="BC59" s="140"/>
      <c r="BD59" s="140"/>
      <c r="BE59" s="140"/>
      <c r="BF59" s="140"/>
      <c r="BG59" s="140"/>
      <c r="BH59" s="140"/>
    </row>
    <row r="60" ht="29.3" customHeight="1" spans="1:60">
      <c r="A60" s="36"/>
      <c r="B60" s="91"/>
      <c r="C60" s="92"/>
      <c r="D60" s="93"/>
      <c r="E60" s="92"/>
      <c r="F60" s="93"/>
      <c r="G60" s="92"/>
      <c r="H60" s="94"/>
      <c r="I60" s="93"/>
      <c r="J60" s="92"/>
      <c r="K60" s="93"/>
      <c r="L60" s="92"/>
      <c r="M60" s="93"/>
      <c r="N60" s="122"/>
      <c r="O60" s="122"/>
      <c r="AK60" s="140"/>
      <c r="AL60" s="140"/>
      <c r="AM60" s="140"/>
      <c r="AN60" s="140"/>
      <c r="AO60" s="140"/>
      <c r="AP60" s="140"/>
      <c r="AQ60" s="140"/>
      <c r="AR60" s="140"/>
      <c r="AS60" s="140"/>
      <c r="AT60" s="140"/>
      <c r="AU60" s="140"/>
      <c r="AV60" s="140"/>
      <c r="AW60" s="140"/>
      <c r="AX60" s="140"/>
      <c r="AY60" s="140"/>
      <c r="AZ60" s="140"/>
      <c r="BA60" s="140"/>
      <c r="BB60" s="140"/>
      <c r="BC60" s="140"/>
      <c r="BD60" s="140"/>
      <c r="BE60" s="140"/>
      <c r="BF60" s="140"/>
      <c r="BG60" s="140"/>
      <c r="BH60" s="140"/>
    </row>
    <row r="61" ht="29.3" customHeight="1" spans="1:60">
      <c r="A61" s="36"/>
      <c r="B61" s="95"/>
      <c r="C61" s="92"/>
      <c r="D61" s="93"/>
      <c r="E61" s="92"/>
      <c r="F61" s="93"/>
      <c r="G61" s="92"/>
      <c r="H61" s="94"/>
      <c r="I61" s="93"/>
      <c r="J61" s="92"/>
      <c r="K61" s="93"/>
      <c r="L61" s="92"/>
      <c r="M61" s="93"/>
      <c r="N61" s="122"/>
      <c r="O61" s="122"/>
      <c r="AK61" s="140"/>
      <c r="AL61" s="140"/>
      <c r="AM61" s="140"/>
      <c r="AN61" s="140"/>
      <c r="AO61" s="140"/>
      <c r="AP61" s="140"/>
      <c r="AQ61" s="140"/>
      <c r="AR61" s="140"/>
      <c r="AS61" s="140"/>
      <c r="AT61" s="140"/>
      <c r="AU61" s="140"/>
      <c r="AV61" s="140"/>
      <c r="AW61" s="140"/>
      <c r="AX61" s="140"/>
      <c r="AY61" s="140"/>
      <c r="AZ61" s="140"/>
      <c r="BA61" s="140"/>
      <c r="BB61" s="140"/>
      <c r="BC61" s="140"/>
      <c r="BD61" s="140"/>
      <c r="BE61" s="140"/>
      <c r="BF61" s="140"/>
      <c r="BG61" s="140"/>
      <c r="BH61" s="140"/>
    </row>
    <row r="62" ht="29.3" customHeight="1" spans="1:60">
      <c r="A62" s="36"/>
      <c r="B62" s="62" t="s">
        <v>68</v>
      </c>
      <c r="C62" s="67" t="s">
        <v>69</v>
      </c>
      <c r="D62" s="96"/>
      <c r="E62" s="97" t="s">
        <v>70</v>
      </c>
      <c r="F62" s="96"/>
      <c r="G62" s="67" t="s">
        <v>71</v>
      </c>
      <c r="H62" s="96"/>
      <c r="I62" s="67" t="s">
        <v>72</v>
      </c>
      <c r="J62" s="96"/>
      <c r="K62" s="67" t="s">
        <v>73</v>
      </c>
      <c r="L62" s="129"/>
      <c r="M62" s="129"/>
      <c r="N62" s="62" t="s">
        <v>43</v>
      </c>
      <c r="O62" s="62" t="s">
        <v>44</v>
      </c>
      <c r="P62" s="32" t="s">
        <v>74</v>
      </c>
      <c r="Q62" s="32" t="s">
        <v>75</v>
      </c>
      <c r="AK62" s="140"/>
      <c r="AL62" s="140"/>
      <c r="AM62" s="140"/>
      <c r="AN62" s="140"/>
      <c r="AO62" s="140"/>
      <c r="AP62" s="140"/>
      <c r="AQ62" s="140"/>
      <c r="AR62" s="140"/>
      <c r="AS62" s="140"/>
      <c r="AT62" s="140"/>
      <c r="AU62" s="140"/>
      <c r="AV62" s="140"/>
      <c r="AW62" s="140"/>
      <c r="AX62" s="140"/>
      <c r="AY62" s="140"/>
      <c r="AZ62" s="140"/>
      <c r="BA62" s="140"/>
      <c r="BB62" s="140"/>
      <c r="BC62" s="140"/>
      <c r="BD62" s="140"/>
      <c r="BE62" s="140"/>
      <c r="BF62" s="140"/>
      <c r="BG62" s="140"/>
      <c r="BH62" s="140"/>
    </row>
    <row r="63" ht="29.3" customHeight="1" spans="1:60">
      <c r="A63" s="36"/>
      <c r="B63" s="62"/>
      <c r="C63" s="92"/>
      <c r="D63" s="93"/>
      <c r="E63" s="92"/>
      <c r="F63" s="93"/>
      <c r="G63" s="92"/>
      <c r="H63" s="93"/>
      <c r="I63" s="92"/>
      <c r="J63" s="93"/>
      <c r="K63" s="92"/>
      <c r="L63" s="94"/>
      <c r="M63" s="93"/>
      <c r="N63" s="122"/>
      <c r="O63" s="122"/>
      <c r="P63" s="32">
        <f>COUNTA(C63:D64)</f>
        <v>0</v>
      </c>
      <c r="Q63" s="32">
        <f>IF(P63&gt;0,3,0)</f>
        <v>0</v>
      </c>
      <c r="AK63" s="140"/>
      <c r="AL63" s="140"/>
      <c r="AM63" s="140"/>
      <c r="AN63" s="140"/>
      <c r="AO63" s="140"/>
      <c r="AP63" s="140"/>
      <c r="AQ63" s="140"/>
      <c r="AR63" s="140"/>
      <c r="AS63" s="140"/>
      <c r="AT63" s="140"/>
      <c r="AU63" s="140"/>
      <c r="AV63" s="140"/>
      <c r="AW63" s="140"/>
      <c r="AX63" s="140"/>
      <c r="AY63" s="140"/>
      <c r="AZ63" s="140"/>
      <c r="BA63" s="140"/>
      <c r="BB63" s="140"/>
      <c r="BC63" s="140"/>
      <c r="BD63" s="140"/>
      <c r="BE63" s="140"/>
      <c r="BF63" s="140"/>
      <c r="BG63" s="140"/>
      <c r="BH63" s="140"/>
    </row>
    <row r="64" ht="29.3" customHeight="1" spans="1:60">
      <c r="A64" s="36"/>
      <c r="B64" s="62"/>
      <c r="C64" s="92"/>
      <c r="D64" s="93"/>
      <c r="E64" s="92"/>
      <c r="F64" s="93"/>
      <c r="G64" s="92"/>
      <c r="H64" s="93"/>
      <c r="I64" s="92"/>
      <c r="J64" s="93"/>
      <c r="K64" s="92"/>
      <c r="L64" s="94"/>
      <c r="M64" s="93"/>
      <c r="N64" s="122"/>
      <c r="O64" s="122"/>
      <c r="AK64" s="140"/>
      <c r="AL64" s="140"/>
      <c r="AM64" s="140"/>
      <c r="AN64" s="140"/>
      <c r="AO64" s="140"/>
      <c r="AP64" s="140"/>
      <c r="AQ64" s="140"/>
      <c r="AR64" s="140"/>
      <c r="AS64" s="140"/>
      <c r="AT64" s="140"/>
      <c r="AU64" s="140"/>
      <c r="AV64" s="140"/>
      <c r="AW64" s="140"/>
      <c r="AX64" s="140"/>
      <c r="AY64" s="140"/>
      <c r="AZ64" s="140"/>
      <c r="BA64" s="140"/>
      <c r="BB64" s="140"/>
      <c r="BC64" s="140"/>
      <c r="BD64" s="140"/>
      <c r="BE64" s="140"/>
      <c r="BF64" s="140"/>
      <c r="BG64" s="140"/>
      <c r="BH64" s="140"/>
    </row>
    <row r="65" ht="31" customHeight="1" spans="1:60">
      <c r="A65" s="36"/>
      <c r="B65" s="141" t="s">
        <v>76</v>
      </c>
      <c r="C65" s="142"/>
      <c r="D65" s="142"/>
      <c r="E65" s="142"/>
      <c r="F65" s="142"/>
      <c r="G65" s="142"/>
      <c r="H65" s="142"/>
      <c r="I65" s="142"/>
      <c r="J65" s="142"/>
      <c r="K65" s="142"/>
      <c r="L65" s="142"/>
      <c r="M65" s="142"/>
      <c r="N65" s="142"/>
      <c r="O65" s="165"/>
      <c r="AK65" s="140"/>
      <c r="AL65" s="140"/>
      <c r="AM65" s="140"/>
      <c r="AN65" s="140"/>
      <c r="AO65" s="140"/>
      <c r="AP65" s="140"/>
      <c r="AQ65" s="140"/>
      <c r="AR65" s="140"/>
      <c r="AS65" s="140"/>
      <c r="AT65" s="140"/>
      <c r="AU65" s="140"/>
      <c r="AV65" s="140"/>
      <c r="AW65" s="140"/>
      <c r="AX65" s="140"/>
      <c r="AY65" s="140"/>
      <c r="AZ65" s="140"/>
      <c r="BA65" s="140"/>
      <c r="BB65" s="140"/>
      <c r="BC65" s="140"/>
      <c r="BD65" s="140"/>
      <c r="BE65" s="140"/>
      <c r="BF65" s="140"/>
      <c r="BG65" s="140"/>
      <c r="BH65" s="140"/>
    </row>
    <row r="66" ht="31" customHeight="1" spans="1:60">
      <c r="A66" s="36"/>
      <c r="B66" s="62" t="s">
        <v>58</v>
      </c>
      <c r="C66" s="62" t="s">
        <v>77</v>
      </c>
      <c r="D66" s="62"/>
      <c r="E66" s="62" t="s">
        <v>78</v>
      </c>
      <c r="F66" s="62" t="s">
        <v>79</v>
      </c>
      <c r="G66" s="62"/>
      <c r="H66" s="143" t="s">
        <v>80</v>
      </c>
      <c r="I66" s="143" t="s">
        <v>81</v>
      </c>
      <c r="J66" s="62" t="s">
        <v>82</v>
      </c>
      <c r="K66" s="62" t="s">
        <v>83</v>
      </c>
      <c r="L66" s="62" t="s">
        <v>84</v>
      </c>
      <c r="M66" s="62" t="s">
        <v>85</v>
      </c>
      <c r="N66" s="62" t="s">
        <v>43</v>
      </c>
      <c r="O66" s="62" t="s">
        <v>44</v>
      </c>
      <c r="P66" s="130" t="s">
        <v>86</v>
      </c>
      <c r="Q66" s="130" t="s">
        <v>87</v>
      </c>
      <c r="R66" s="185" t="s">
        <v>88</v>
      </c>
      <c r="S66" s="186"/>
      <c r="T66" s="187"/>
      <c r="U66" s="187"/>
      <c r="V66" s="187"/>
      <c r="W66" s="130"/>
      <c r="X66" s="130"/>
      <c r="Y66" s="130"/>
      <c r="Z66" s="130"/>
      <c r="AA66" s="130"/>
      <c r="AB66" s="130"/>
      <c r="AC66" s="130"/>
      <c r="AK66" s="140"/>
      <c r="AL66" s="140"/>
      <c r="AM66" s="140"/>
      <c r="AN66" s="140"/>
      <c r="AO66" s="140"/>
      <c r="AP66" s="140"/>
      <c r="AQ66" s="140"/>
      <c r="AR66" s="140"/>
      <c r="AS66" s="140"/>
      <c r="AT66" s="140"/>
      <c r="AU66" s="140"/>
      <c r="AV66" s="140"/>
      <c r="AW66" s="140"/>
      <c r="AX66" s="140"/>
      <c r="AY66" s="140"/>
      <c r="AZ66" s="140"/>
      <c r="BA66" s="140"/>
      <c r="BB66" s="140"/>
      <c r="BC66" s="140"/>
      <c r="BD66" s="140"/>
      <c r="BE66" s="140"/>
      <c r="BF66" s="140"/>
      <c r="BG66" s="140"/>
      <c r="BH66" s="140"/>
    </row>
    <row r="67" ht="31" customHeight="1" spans="1:60">
      <c r="A67" s="36"/>
      <c r="B67" s="144"/>
      <c r="C67" s="144"/>
      <c r="D67" s="144"/>
      <c r="E67" s="144"/>
      <c r="F67" s="145"/>
      <c r="G67" s="145"/>
      <c r="H67" s="145"/>
      <c r="I67" s="145"/>
      <c r="J67" s="166"/>
      <c r="K67" s="166"/>
      <c r="L67" s="167" t="str">
        <f>IF(B67&lt;&gt;0,1,"")</f>
        <v/>
      </c>
      <c r="M67" s="167" t="str">
        <f>IF(B67&lt;&gt;"",SUM(P67:Q67)*L67,"")</f>
        <v/>
      </c>
      <c r="N67" s="168"/>
      <c r="O67" s="168"/>
      <c r="P67" s="32">
        <f>IF(B67&lt;&gt;"",IF(OR(I67="独立完成",K67=1),IF(E67="国家级",10,IF(E67="省级",5,IF(E67="市级",3,IF(E67="校级",2)))),0),0)</f>
        <v>0</v>
      </c>
      <c r="Q67" s="32">
        <f>IF(AND(I67="合作完成",AND(K67&gt;1,K67&lt;4)),IF(E67="国家级",5,IF(E67="省级",3,IF(E67="市级",2,IF(E67="校级",1)))),0)</f>
        <v>0</v>
      </c>
      <c r="R67" s="188">
        <f>IF(OR(OR(I67="独立完成",K67=1),AND(NOT(E67="校级"),AND(K67&lt;&gt;"",K67&lt;4))),1,0)</f>
        <v>0</v>
      </c>
      <c r="S67" s="189"/>
      <c r="T67" s="187"/>
      <c r="U67" s="187"/>
      <c r="V67" s="187"/>
      <c r="W67" s="32"/>
      <c r="X67" s="181"/>
      <c r="Y67" s="181"/>
      <c r="Z67" s="181"/>
      <c r="AA67" s="168"/>
      <c r="AB67" s="168"/>
      <c r="AC67" s="168"/>
      <c r="AD67" s="168"/>
      <c r="AE67" s="168"/>
      <c r="AK67" s="140"/>
      <c r="AL67" s="140"/>
      <c r="AM67" s="140"/>
      <c r="AN67" s="140"/>
      <c r="AO67" s="140"/>
      <c r="AP67" s="140"/>
      <c r="AQ67" s="140"/>
      <c r="AR67" s="140"/>
      <c r="AS67" s="140"/>
      <c r="AT67" s="140"/>
      <c r="AU67" s="140"/>
      <c r="AV67" s="140"/>
      <c r="AW67" s="140"/>
      <c r="AX67" s="140"/>
      <c r="AY67" s="140"/>
      <c r="AZ67" s="140"/>
      <c r="BA67" s="140"/>
      <c r="BB67" s="140"/>
      <c r="BC67" s="140"/>
      <c r="BD67" s="140"/>
      <c r="BE67" s="140"/>
      <c r="BF67" s="140"/>
      <c r="BG67" s="140"/>
      <c r="BH67" s="140"/>
    </row>
    <row r="68" ht="31" customHeight="1" spans="1:60">
      <c r="A68" s="36"/>
      <c r="B68" s="146" t="s">
        <v>89</v>
      </c>
      <c r="C68" s="147"/>
      <c r="D68" s="147"/>
      <c r="E68" s="147"/>
      <c r="F68" s="147"/>
      <c r="G68" s="147"/>
      <c r="H68" s="147"/>
      <c r="I68" s="147"/>
      <c r="J68" s="147"/>
      <c r="K68" s="147"/>
      <c r="L68" s="169"/>
      <c r="M68" s="167">
        <f>IF(M67&lt;&gt;"",M67,0)</f>
        <v>0</v>
      </c>
      <c r="N68" s="170"/>
      <c r="O68" s="170"/>
      <c r="Q68" s="32"/>
      <c r="AB68" s="168"/>
      <c r="AK68" s="140"/>
      <c r="AL68" s="140"/>
      <c r="AM68" s="140"/>
      <c r="AN68" s="140"/>
      <c r="AO68" s="140"/>
      <c r="AP68" s="140"/>
      <c r="AQ68" s="140"/>
      <c r="AR68" s="140"/>
      <c r="AS68" s="140"/>
      <c r="AT68" s="140"/>
      <c r="AU68" s="140"/>
      <c r="AV68" s="140"/>
      <c r="AW68" s="140"/>
      <c r="AX68" s="140"/>
      <c r="AY68" s="140"/>
      <c r="AZ68" s="140"/>
      <c r="BA68" s="140"/>
      <c r="BB68" s="140"/>
      <c r="BC68" s="140"/>
      <c r="BD68" s="140"/>
      <c r="BE68" s="140"/>
      <c r="BF68" s="140"/>
      <c r="BG68" s="140"/>
      <c r="BH68" s="140"/>
    </row>
    <row r="69" ht="15" customHeight="1" spans="1:60">
      <c r="A69" s="36"/>
      <c r="B69" s="58"/>
      <c r="C69" s="59"/>
      <c r="D69" s="59"/>
      <c r="E69" s="58"/>
      <c r="F69" s="60"/>
      <c r="G69" s="58"/>
      <c r="H69" s="61"/>
      <c r="I69" s="61"/>
      <c r="J69" s="108"/>
      <c r="K69" s="109"/>
      <c r="L69" s="109"/>
      <c r="M69" s="110"/>
      <c r="N69" s="110"/>
      <c r="O69" s="101"/>
      <c r="P69" s="98"/>
      <c r="AK69" s="140"/>
      <c r="AL69" s="140"/>
      <c r="AM69" s="140"/>
      <c r="AN69" s="140"/>
      <c r="AO69" s="140"/>
      <c r="AP69" s="140"/>
      <c r="AQ69" s="140"/>
      <c r="AR69" s="140"/>
      <c r="AS69" s="140"/>
      <c r="AT69" s="140"/>
      <c r="AU69" s="140"/>
      <c r="AV69" s="140"/>
      <c r="AW69" s="140"/>
      <c r="AX69" s="140"/>
      <c r="AY69" s="140"/>
      <c r="AZ69" s="140"/>
      <c r="BA69" s="140"/>
      <c r="BB69" s="140"/>
      <c r="BC69" s="140"/>
      <c r="BD69" s="140"/>
      <c r="BE69" s="140"/>
      <c r="BF69" s="140"/>
      <c r="BG69" s="140"/>
      <c r="BH69" s="140"/>
    </row>
    <row r="70" ht="31" customHeight="1" spans="1:60">
      <c r="A70" s="36"/>
      <c r="B70" s="78" t="s">
        <v>90</v>
      </c>
      <c r="C70" s="78"/>
      <c r="D70" s="78"/>
      <c r="E70" s="78"/>
      <c r="F70" s="78"/>
      <c r="G70" s="78"/>
      <c r="H70" s="78"/>
      <c r="I70" s="78"/>
      <c r="J70" s="78"/>
      <c r="K70" s="78"/>
      <c r="L70" s="78"/>
      <c r="M70" s="78"/>
      <c r="N70" s="78"/>
      <c r="O70" s="78"/>
      <c r="AK70" s="140"/>
      <c r="AL70" s="140"/>
      <c r="AM70" s="140"/>
      <c r="AN70" s="140"/>
      <c r="AO70" s="140"/>
      <c r="AP70" s="140"/>
      <c r="AQ70" s="140"/>
      <c r="AR70" s="140"/>
      <c r="AS70" s="140"/>
      <c r="AT70" s="140"/>
      <c r="AU70" s="140"/>
      <c r="AV70" s="140"/>
      <c r="AW70" s="140"/>
      <c r="AX70" s="140"/>
      <c r="AY70" s="140"/>
      <c r="AZ70" s="140"/>
      <c r="BA70" s="140"/>
      <c r="BB70" s="140"/>
      <c r="BC70" s="140"/>
      <c r="BD70" s="140"/>
      <c r="BE70" s="140"/>
      <c r="BF70" s="140"/>
      <c r="BG70" s="140"/>
      <c r="BH70" s="140"/>
    </row>
    <row r="71" ht="31" customHeight="1" spans="1:60">
      <c r="A71" s="36"/>
      <c r="B71" s="148" t="s">
        <v>91</v>
      </c>
      <c r="C71" s="148"/>
      <c r="D71" s="148"/>
      <c r="E71" s="148"/>
      <c r="F71" s="148"/>
      <c r="G71" s="148"/>
      <c r="H71" s="148"/>
      <c r="I71" s="148"/>
      <c r="J71" s="148"/>
      <c r="K71" s="148"/>
      <c r="L71" s="148"/>
      <c r="M71" s="148"/>
      <c r="N71" s="148"/>
      <c r="O71" s="148"/>
      <c r="AK71" s="140"/>
      <c r="AL71" s="140"/>
      <c r="AM71" s="140"/>
      <c r="AN71" s="140"/>
      <c r="AO71" s="140"/>
      <c r="AP71" s="140"/>
      <c r="AQ71" s="140"/>
      <c r="AR71" s="140"/>
      <c r="AS71" s="140"/>
      <c r="AT71" s="140"/>
      <c r="AU71" s="140"/>
      <c r="AV71" s="140"/>
      <c r="AW71" s="140"/>
      <c r="AX71" s="140"/>
      <c r="AY71" s="140"/>
      <c r="AZ71" s="140"/>
      <c r="BA71" s="140"/>
      <c r="BB71" s="140"/>
      <c r="BC71" s="140"/>
      <c r="BD71" s="140"/>
      <c r="BE71" s="140"/>
      <c r="BF71" s="140"/>
      <c r="BG71" s="140"/>
      <c r="BH71" s="140"/>
    </row>
    <row r="72" ht="31" customHeight="1" spans="1:60">
      <c r="A72" s="36"/>
      <c r="B72" s="62" t="s">
        <v>58</v>
      </c>
      <c r="C72" s="62" t="s">
        <v>77</v>
      </c>
      <c r="D72" s="62"/>
      <c r="E72" s="62" t="s">
        <v>78</v>
      </c>
      <c r="F72" s="62" t="s">
        <v>79</v>
      </c>
      <c r="G72" s="62"/>
      <c r="H72" s="143" t="s">
        <v>80</v>
      </c>
      <c r="I72" s="143" t="s">
        <v>81</v>
      </c>
      <c r="J72" s="62" t="s">
        <v>82</v>
      </c>
      <c r="K72" s="62" t="s">
        <v>92</v>
      </c>
      <c r="L72" s="62" t="s">
        <v>84</v>
      </c>
      <c r="M72" s="62" t="s">
        <v>85</v>
      </c>
      <c r="N72" s="62" t="s">
        <v>43</v>
      </c>
      <c r="O72" s="62" t="s">
        <v>44</v>
      </c>
      <c r="P72" s="130" t="s">
        <v>93</v>
      </c>
      <c r="Q72" s="130" t="s">
        <v>94</v>
      </c>
      <c r="R72" s="130" t="s">
        <v>95</v>
      </c>
      <c r="S72" s="190" t="s">
        <v>96</v>
      </c>
      <c r="T72" s="190" t="s">
        <v>97</v>
      </c>
      <c r="U72" s="190" t="s">
        <v>98</v>
      </c>
      <c r="V72" s="190" t="s">
        <v>67</v>
      </c>
      <c r="W72" s="130"/>
      <c r="X72" s="130"/>
      <c r="Y72" s="130"/>
      <c r="Z72" s="130"/>
      <c r="AA72" s="130"/>
      <c r="AB72" s="130"/>
      <c r="AC72" s="130"/>
      <c r="AD72" s="130"/>
      <c r="AE72" s="130"/>
      <c r="AF72" s="130"/>
      <c r="AG72" s="130"/>
      <c r="AH72" s="130"/>
      <c r="AI72" s="130"/>
      <c r="AJ72" s="185"/>
      <c r="AK72" s="140"/>
      <c r="AL72" s="140"/>
      <c r="AM72" s="140"/>
      <c r="AN72" s="140"/>
      <c r="AO72" s="140"/>
      <c r="AP72" s="140"/>
      <c r="AQ72" s="140"/>
      <c r="AR72" s="140"/>
      <c r="AS72" s="140"/>
      <c r="AT72" s="140"/>
      <c r="AU72" s="140"/>
      <c r="AV72" s="140"/>
      <c r="AW72" s="140"/>
      <c r="AX72" s="140"/>
      <c r="AY72" s="140"/>
      <c r="AZ72" s="140"/>
      <c r="BA72" s="140"/>
      <c r="BB72" s="140"/>
      <c r="BC72" s="140"/>
      <c r="BD72" s="140"/>
      <c r="BE72" s="140"/>
      <c r="BF72" s="140"/>
      <c r="BG72" s="140"/>
      <c r="BH72" s="140"/>
    </row>
    <row r="73" ht="31" customHeight="1" spans="1:60">
      <c r="A73" s="36"/>
      <c r="B73" s="144"/>
      <c r="C73" s="144"/>
      <c r="D73" s="144"/>
      <c r="E73" s="144"/>
      <c r="F73" s="145"/>
      <c r="G73" s="145"/>
      <c r="H73" s="149"/>
      <c r="I73" s="145"/>
      <c r="J73" s="166"/>
      <c r="K73" s="166"/>
      <c r="L73" s="167" t="str">
        <f>IF(B73&lt;&gt;"",R73,"")</f>
        <v/>
      </c>
      <c r="M73" s="167" t="str">
        <f>IF(B73&lt;&gt;"",SUM(P73:Q73)*L73,"")</f>
        <v/>
      </c>
      <c r="N73" s="168"/>
      <c r="O73" s="168"/>
      <c r="P73" s="32">
        <f>IF(AND(C73="团体荣誉",E73="国家级"),25,IF(AND(C73="团体荣誉",E73="省级"),10,IF(AND(C73="团体荣誉",E73="市级"),5,IF(AND(C73="团体荣誉",E73="校级"),3,0))))</f>
        <v>0</v>
      </c>
      <c r="Q73" s="32">
        <f>IF(AND(C73="个人荣誉",E73="国家级"),25,IF(AND(C73="个人荣誉",E73="省级"),10,IF(AND(C73="个人荣誉",E73="市级"),5,IF(AND(C73="个人荣誉",E73="校级"),3,0))))</f>
        <v>0</v>
      </c>
      <c r="R73" s="32">
        <f>IF(I73="独立完成",1,IF(K73=1,0.6,IF(AND(J73=2,K73=2),0.4,IF(AND(J73&gt;2,K73=2),0.3,IF(AND(J73&gt;2,K73=3),0.2,IF(AND(J73&gt;2,K73&gt;3),0.1,0))))))</f>
        <v>0</v>
      </c>
      <c r="S73" s="117">
        <f>IF(OR(I73="独立完成",K73=1),IF(OR(E73="国家级",E73="省级"),1,0),0)</f>
        <v>0</v>
      </c>
      <c r="T73" s="117">
        <f>IF(OR(I73="独立完成",K73=1),IF(E73="市级",1,0),0)</f>
        <v>0</v>
      </c>
      <c r="U73" s="117">
        <f>IF(OR(I73="独立完成",K73=1),IF(E73="校级",1,0),0)</f>
        <v>0</v>
      </c>
      <c r="V73" s="117" t="str">
        <f>IF(OR(SUM(S73:S77)&gt;=1,SUM(S73:T77)&gt;=2,SUM(S73:U77)&gt;=3),"满足","不满足")</f>
        <v>不满足</v>
      </c>
      <c r="W73" s="32"/>
      <c r="X73" s="181"/>
      <c r="Y73" s="181"/>
      <c r="Z73" s="32"/>
      <c r="AA73" s="32"/>
      <c r="AB73" s="32"/>
      <c r="AC73" s="32"/>
      <c r="AD73" s="32"/>
      <c r="AE73" s="32"/>
      <c r="AF73" s="32"/>
      <c r="AG73" s="32"/>
      <c r="AH73" s="181"/>
      <c r="AI73" s="181"/>
      <c r="AJ73" s="200"/>
      <c r="AK73" s="140"/>
      <c r="AL73" s="140"/>
      <c r="AM73" s="140"/>
      <c r="AN73" s="140"/>
      <c r="AO73" s="140"/>
      <c r="AP73" s="140"/>
      <c r="AQ73" s="140"/>
      <c r="AR73" s="140"/>
      <c r="AS73" s="140"/>
      <c r="AT73" s="140"/>
      <c r="AU73" s="140"/>
      <c r="AV73" s="140"/>
      <c r="AW73" s="140"/>
      <c r="AX73" s="140"/>
      <c r="AY73" s="140"/>
      <c r="AZ73" s="140"/>
      <c r="BA73" s="140"/>
      <c r="BB73" s="140"/>
      <c r="BC73" s="140"/>
      <c r="BD73" s="140"/>
      <c r="BE73" s="140"/>
      <c r="BF73" s="140"/>
      <c r="BG73" s="140"/>
      <c r="BH73" s="140"/>
    </row>
    <row r="74" ht="31" customHeight="1" spans="1:60">
      <c r="A74" s="36"/>
      <c r="B74" s="144"/>
      <c r="C74" s="144"/>
      <c r="D74" s="144"/>
      <c r="E74" s="144"/>
      <c r="F74" s="145"/>
      <c r="G74" s="145"/>
      <c r="H74" s="149"/>
      <c r="I74" s="145"/>
      <c r="J74" s="166"/>
      <c r="K74" s="166"/>
      <c r="L74" s="167" t="str">
        <f>IF(B74&lt;&gt;"",R74,"")</f>
        <v/>
      </c>
      <c r="M74" s="167" t="str">
        <f>IF(B74&lt;&gt;"",SUM(P74:Q74)*L74,"")</f>
        <v/>
      </c>
      <c r="N74" s="168"/>
      <c r="O74" s="168"/>
      <c r="P74" s="32">
        <f>IF(AND(C74="团体荣誉",E74="国家级"),25,IF(AND(C74="团体荣誉",E74="省级"),10,IF(AND(C74="团体荣誉",E74="市级"),5,IF(AND(C74="团体荣誉",E74="校级"),3,0))))</f>
        <v>0</v>
      </c>
      <c r="Q74" s="32">
        <f>IF(AND(C74="个人荣誉",E74="国家级"),25,IF(AND(C74="个人荣誉",E74="省级"),10,IF(AND(C74="个人荣誉",E74="市级"),5,IF(AND(C74="个人荣誉",E74="校级"),3,0))))</f>
        <v>0</v>
      </c>
      <c r="R74" s="32">
        <f>IF(I74="独立完成",1,IF(K74=1,0.6,IF(AND(J74=2,K74=2),0.4,IF(AND(J74&gt;2,K74=2),0.3,IF(AND(J74&gt;2,K74=3),0.2,IF(AND(J74&gt;2,K74&gt;3),0.1,0))))))</f>
        <v>0</v>
      </c>
      <c r="S74" s="117">
        <f>IF(OR(I74="独立完成",K74=1),IF(OR(E74="国家级",E74="省级"),1,0),0)</f>
        <v>0</v>
      </c>
      <c r="T74" s="117">
        <f>IF(OR(I74="独立完成",K74=1),IF(E74="市级",1,0),0)</f>
        <v>0</v>
      </c>
      <c r="U74" s="117">
        <f>IF(OR(I74="独立完成",K74=1),IF(E74="校级",1,0),0)</f>
        <v>0</v>
      </c>
      <c r="V74" s="32"/>
      <c r="W74" s="32"/>
      <c r="X74" s="181"/>
      <c r="Y74" s="181"/>
      <c r="Z74" s="32"/>
      <c r="AA74" s="32"/>
      <c r="AB74" s="32"/>
      <c r="AC74" s="32"/>
      <c r="AD74" s="32"/>
      <c r="AE74" s="32"/>
      <c r="AF74" s="32"/>
      <c r="AG74" s="32"/>
      <c r="AH74" s="181"/>
      <c r="AI74" s="181"/>
      <c r="AJ74" s="200"/>
      <c r="AK74" s="140"/>
      <c r="AL74" s="140"/>
      <c r="AM74" s="140"/>
      <c r="AN74" s="140"/>
      <c r="AO74" s="140"/>
      <c r="AP74" s="140"/>
      <c r="AQ74" s="140"/>
      <c r="AR74" s="140"/>
      <c r="AS74" s="140"/>
      <c r="AT74" s="140"/>
      <c r="AU74" s="140"/>
      <c r="AV74" s="140"/>
      <c r="AW74" s="140"/>
      <c r="AX74" s="140"/>
      <c r="AY74" s="140"/>
      <c r="AZ74" s="140"/>
      <c r="BA74" s="140"/>
      <c r="BB74" s="140"/>
      <c r="BC74" s="140"/>
      <c r="BD74" s="140"/>
      <c r="BE74" s="140"/>
      <c r="BF74" s="140"/>
      <c r="BG74" s="140"/>
      <c r="BH74" s="140"/>
    </row>
    <row r="75" ht="31" customHeight="1" spans="1:60">
      <c r="A75" s="36"/>
      <c r="B75" s="144"/>
      <c r="C75" s="144"/>
      <c r="D75" s="144"/>
      <c r="E75" s="144"/>
      <c r="F75" s="145"/>
      <c r="G75" s="145"/>
      <c r="H75" s="149"/>
      <c r="I75" s="145"/>
      <c r="J75" s="166"/>
      <c r="K75" s="166"/>
      <c r="L75" s="167" t="str">
        <f>IF(B75&lt;&gt;"",R75,"")</f>
        <v/>
      </c>
      <c r="M75" s="167" t="str">
        <f>IF(B75&lt;&gt;"",SUM(P75:Q75)*L75,"")</f>
        <v/>
      </c>
      <c r="N75" s="168"/>
      <c r="O75" s="168"/>
      <c r="P75" s="32">
        <f>IF(AND(C75="团体荣誉",E75="国家级"),25,IF(AND(C75="团体荣誉",E75="省级"),10,IF(AND(C75="团体荣誉",E75="市级"),5,IF(AND(C75="团体荣誉",E75="校级"),3,0))))</f>
        <v>0</v>
      </c>
      <c r="Q75" s="32">
        <f>IF(AND(C75="个人荣誉",E75="国家级"),25,IF(AND(C75="个人荣誉",E75="省级"),10,IF(AND(C75="个人荣誉",E75="市级"),5,IF(AND(C75="个人荣誉",E75="校级"),3,0))))</f>
        <v>0</v>
      </c>
      <c r="R75" s="32">
        <f>IF(I75="独立完成",1,IF(K75=1,0.6,IF(AND(J75=2,K75=2),0.4,IF(AND(J75&gt;2,K75=2),0.3,IF(AND(J75&gt;2,K75=3),0.2,IF(AND(J75&gt;2,K75&gt;3),0.1,0))))))</f>
        <v>0</v>
      </c>
      <c r="S75" s="117">
        <f>IF(OR(I75="独立完成",K75=1),IF(OR(E75="国家级",E75="省级"),1,0),0)</f>
        <v>0</v>
      </c>
      <c r="T75" s="117">
        <f>IF(OR(I75="独立完成",K75=1),IF(E75="市级",1,0),0)</f>
        <v>0</v>
      </c>
      <c r="U75" s="117">
        <f>IF(OR(I75="独立完成",K75=1),IF(E75="校级",1,0),0)</f>
        <v>0</v>
      </c>
      <c r="V75" s="32"/>
      <c r="W75" s="32"/>
      <c r="X75" s="181"/>
      <c r="Y75" s="181"/>
      <c r="Z75" s="32"/>
      <c r="AA75" s="32"/>
      <c r="AB75" s="32"/>
      <c r="AC75" s="32"/>
      <c r="AD75" s="32"/>
      <c r="AE75" s="32"/>
      <c r="AF75" s="32"/>
      <c r="AG75" s="32"/>
      <c r="AH75" s="181"/>
      <c r="AI75" s="181"/>
      <c r="AJ75" s="200"/>
      <c r="AK75" s="140"/>
      <c r="AL75" s="140"/>
      <c r="AM75" s="140"/>
      <c r="AN75" s="140"/>
      <c r="AO75" s="140"/>
      <c r="AP75" s="140"/>
      <c r="AQ75" s="140"/>
      <c r="AR75" s="140"/>
      <c r="AS75" s="140"/>
      <c r="AT75" s="140"/>
      <c r="AU75" s="140"/>
      <c r="AV75" s="140"/>
      <c r="AW75" s="140"/>
      <c r="AX75" s="140"/>
      <c r="AY75" s="140"/>
      <c r="AZ75" s="140"/>
      <c r="BA75" s="140"/>
      <c r="BB75" s="140"/>
      <c r="BC75" s="140"/>
      <c r="BD75" s="140"/>
      <c r="BE75" s="140"/>
      <c r="BF75" s="140"/>
      <c r="BG75" s="140"/>
      <c r="BH75" s="140"/>
    </row>
    <row r="76" ht="31" customHeight="1" spans="1:60">
      <c r="A76" s="36"/>
      <c r="B76" s="144"/>
      <c r="C76" s="144"/>
      <c r="D76" s="144"/>
      <c r="E76" s="144"/>
      <c r="F76" s="145"/>
      <c r="G76" s="145"/>
      <c r="H76" s="149"/>
      <c r="I76" s="145"/>
      <c r="J76" s="166"/>
      <c r="K76" s="166"/>
      <c r="L76" s="167" t="str">
        <f>IF(B76&lt;&gt;"",R76,"")</f>
        <v/>
      </c>
      <c r="M76" s="167" t="str">
        <f>IF(B76&lt;&gt;"",SUM(P76:Q76)*L76,"")</f>
        <v/>
      </c>
      <c r="N76" s="168"/>
      <c r="O76" s="168"/>
      <c r="P76" s="32">
        <f>IF(AND(C76="团体荣誉",E76="国家级"),25,IF(AND(C76="团体荣誉",E76="省级"),10,IF(AND(C76="团体荣誉",E76="市级"),5,IF(AND(C76="团体荣誉",E76="校级"),3,0))))</f>
        <v>0</v>
      </c>
      <c r="Q76" s="32">
        <f>IF(AND(C76="个人荣誉",E76="国家级"),25,IF(AND(C76="个人荣誉",E76="省级"),10,IF(AND(C76="个人荣誉",E76="市级"),5,IF(AND(C76="个人荣誉",E76="校级"),3,0))))</f>
        <v>0</v>
      </c>
      <c r="R76" s="32">
        <f>IF(I76="独立完成",1,IF(K76=1,0.6,IF(AND(J76=2,K76=2),0.4,IF(AND(J76&gt;2,K76=2),0.3,IF(AND(J76&gt;2,K76=3),0.2,IF(AND(J76&gt;2,K76&gt;3),0.1,0))))))</f>
        <v>0</v>
      </c>
      <c r="S76" s="117">
        <f>IF(OR(I76="独立完成",K76=1),IF(OR(E76="国家级",E76="省级"),1,0),0)</f>
        <v>0</v>
      </c>
      <c r="T76" s="117">
        <f>IF(OR(I76="独立完成",K76=1),IF(E76="市级",1,0),0)</f>
        <v>0</v>
      </c>
      <c r="U76" s="117">
        <f>IF(OR(I76="独立完成",K76=1),IF(E76="校级",1,0),0)</f>
        <v>0</v>
      </c>
      <c r="V76" s="32"/>
      <c r="W76" s="32"/>
      <c r="X76" s="181"/>
      <c r="Y76" s="181"/>
      <c r="Z76" s="32"/>
      <c r="AA76" s="32"/>
      <c r="AB76" s="32"/>
      <c r="AC76" s="32"/>
      <c r="AD76" s="32"/>
      <c r="AE76" s="32"/>
      <c r="AF76" s="32"/>
      <c r="AG76" s="32"/>
      <c r="AH76" s="181"/>
      <c r="AI76" s="181"/>
      <c r="AJ76" s="200"/>
      <c r="AK76" s="140"/>
      <c r="AL76" s="140"/>
      <c r="AM76" s="140"/>
      <c r="AN76" s="140"/>
      <c r="AO76" s="140"/>
      <c r="AP76" s="140"/>
      <c r="AQ76" s="140"/>
      <c r="AR76" s="140"/>
      <c r="AS76" s="140"/>
      <c r="AT76" s="140"/>
      <c r="AU76" s="140"/>
      <c r="AV76" s="140"/>
      <c r="AW76" s="140"/>
      <c r="AX76" s="140"/>
      <c r="AY76" s="140"/>
      <c r="AZ76" s="140"/>
      <c r="BA76" s="140"/>
      <c r="BB76" s="140"/>
      <c r="BC76" s="140"/>
      <c r="BD76" s="140"/>
      <c r="BE76" s="140"/>
      <c r="BF76" s="140"/>
      <c r="BG76" s="140"/>
      <c r="BH76" s="140"/>
    </row>
    <row r="77" ht="31" customHeight="1" spans="1:60">
      <c r="A77" s="36"/>
      <c r="B77" s="144"/>
      <c r="C77" s="144"/>
      <c r="D77" s="144"/>
      <c r="E77" s="144"/>
      <c r="F77" s="145"/>
      <c r="G77" s="145"/>
      <c r="H77" s="149"/>
      <c r="I77" s="145"/>
      <c r="J77" s="166"/>
      <c r="K77" s="166"/>
      <c r="L77" s="167" t="str">
        <f>IF(B77&lt;&gt;"",R77,"")</f>
        <v/>
      </c>
      <c r="M77" s="167" t="str">
        <f>IF(B77&lt;&gt;"",SUM(P77:Q77)*L77,"")</f>
        <v/>
      </c>
      <c r="N77" s="168"/>
      <c r="O77" s="168"/>
      <c r="P77" s="32">
        <f>IF(AND(C77="团体荣誉",E77="国家级"),25,IF(AND(C77="团体荣誉",E77="省级"),10,IF(AND(C77="团体荣誉",E77="市级"),5,IF(AND(C77="团体荣誉",E77="校级"),3,0))))</f>
        <v>0</v>
      </c>
      <c r="Q77" s="32">
        <f>IF(AND(C77="个人荣誉",E77="国家级"),25,IF(AND(C77="个人荣誉",E77="省级"),10,IF(AND(C77="个人荣誉",E77="市级"),5,IF(AND(C77="个人荣誉",E77="校级"),3,0))))</f>
        <v>0</v>
      </c>
      <c r="R77" s="32">
        <f>IF(I77="独立完成",1,IF(K77=1,0.6,IF(AND(J77=2,K77=2),0.4,IF(AND(J77&gt;2,K77=2),0.3,IF(AND(J77&gt;2,K77=3),0.2,IF(AND(J77&gt;2,K77&gt;3),0.1,0))))))</f>
        <v>0</v>
      </c>
      <c r="S77" s="117">
        <f>IF(OR(I77="独立完成",K77=1),IF(OR(E77="国家级",E77="省级"),1,0),0)</f>
        <v>0</v>
      </c>
      <c r="T77" s="117">
        <f>IF(OR(I77="独立完成",K77=1),IF(E77="市级",1,0),0)</f>
        <v>0</v>
      </c>
      <c r="U77" s="117">
        <f>IF(OR(I77="独立完成",K77=1),IF(E77="校级",1,0),0)</f>
        <v>0</v>
      </c>
      <c r="V77" s="32"/>
      <c r="W77" s="32"/>
      <c r="X77" s="181"/>
      <c r="Y77" s="181"/>
      <c r="Z77" s="32"/>
      <c r="AA77" s="32"/>
      <c r="AB77" s="32"/>
      <c r="AC77" s="32"/>
      <c r="AD77" s="32"/>
      <c r="AE77" s="32"/>
      <c r="AF77" s="32"/>
      <c r="AG77" s="32"/>
      <c r="AH77" s="181"/>
      <c r="AI77" s="181"/>
      <c r="AJ77" s="200"/>
      <c r="AK77" s="140"/>
      <c r="AL77" s="140"/>
      <c r="AM77" s="140"/>
      <c r="AN77" s="140"/>
      <c r="AO77" s="140"/>
      <c r="AP77" s="140"/>
      <c r="AQ77" s="140"/>
      <c r="AR77" s="140"/>
      <c r="AS77" s="140"/>
      <c r="AT77" s="140"/>
      <c r="AU77" s="140"/>
      <c r="AV77" s="140"/>
      <c r="AW77" s="140"/>
      <c r="AX77" s="140"/>
      <c r="AY77" s="140"/>
      <c r="AZ77" s="140"/>
      <c r="BA77" s="140"/>
      <c r="BB77" s="140"/>
      <c r="BC77" s="140"/>
      <c r="BD77" s="140"/>
      <c r="BE77" s="140"/>
      <c r="BF77" s="140"/>
      <c r="BG77" s="140"/>
      <c r="BH77" s="140"/>
    </row>
    <row r="78" ht="31" customHeight="1" spans="1:60">
      <c r="A78" s="36"/>
      <c r="B78" s="146" t="s">
        <v>89</v>
      </c>
      <c r="C78" s="147"/>
      <c r="D78" s="147"/>
      <c r="E78" s="147"/>
      <c r="F78" s="147"/>
      <c r="G78" s="147"/>
      <c r="H78" s="147"/>
      <c r="I78" s="147"/>
      <c r="J78" s="147"/>
      <c r="K78" s="147"/>
      <c r="L78" s="169"/>
      <c r="M78" s="167">
        <f>IF(M73&lt;&gt;"",SUM(M73:M77),0)</f>
        <v>0</v>
      </c>
      <c r="N78" s="170"/>
      <c r="O78" s="170"/>
      <c r="AK78" s="140"/>
      <c r="AL78" s="140"/>
      <c r="AM78" s="140"/>
      <c r="AN78" s="140"/>
      <c r="AO78" s="140"/>
      <c r="AP78" s="140"/>
      <c r="AQ78" s="140"/>
      <c r="AR78" s="140"/>
      <c r="AS78" s="140"/>
      <c r="AT78" s="140"/>
      <c r="AU78" s="140"/>
      <c r="AV78" s="140"/>
      <c r="AW78" s="140"/>
      <c r="AX78" s="140"/>
      <c r="AY78" s="140"/>
      <c r="AZ78" s="140"/>
      <c r="BA78" s="140"/>
      <c r="BB78" s="140"/>
      <c r="BC78" s="140"/>
      <c r="BD78" s="140"/>
      <c r="BE78" s="140"/>
      <c r="BF78" s="140"/>
      <c r="BG78" s="140"/>
      <c r="BH78" s="140"/>
    </row>
    <row r="79" ht="31" customHeight="1" spans="1:60">
      <c r="A79" s="36"/>
      <c r="B79" s="148" t="s">
        <v>99</v>
      </c>
      <c r="C79" s="148"/>
      <c r="D79" s="148"/>
      <c r="E79" s="148"/>
      <c r="F79" s="148"/>
      <c r="G79" s="148"/>
      <c r="H79" s="148"/>
      <c r="I79" s="148"/>
      <c r="J79" s="148"/>
      <c r="K79" s="148"/>
      <c r="L79" s="148"/>
      <c r="M79" s="148"/>
      <c r="N79" s="148"/>
      <c r="O79" s="148"/>
      <c r="AK79" s="140"/>
      <c r="AL79" s="140"/>
      <c r="AM79" s="140"/>
      <c r="AN79" s="140"/>
      <c r="AO79" s="140"/>
      <c r="AP79" s="140"/>
      <c r="AQ79" s="140"/>
      <c r="AR79" s="140"/>
      <c r="AS79" s="140"/>
      <c r="AT79" s="140"/>
      <c r="AU79" s="140"/>
      <c r="AV79" s="140"/>
      <c r="AW79" s="140"/>
      <c r="AX79" s="140"/>
      <c r="AY79" s="140"/>
      <c r="AZ79" s="140"/>
      <c r="BA79" s="140"/>
      <c r="BB79" s="140"/>
      <c r="BC79" s="140"/>
      <c r="BD79" s="140"/>
      <c r="BE79" s="140"/>
      <c r="BF79" s="140"/>
      <c r="BG79" s="140"/>
      <c r="BH79" s="140"/>
    </row>
    <row r="80" ht="31" customHeight="1" spans="1:60">
      <c r="A80" s="36"/>
      <c r="B80" s="62" t="s">
        <v>100</v>
      </c>
      <c r="C80" s="62" t="s">
        <v>101</v>
      </c>
      <c r="D80" s="67" t="s">
        <v>79</v>
      </c>
      <c r="E80" s="113"/>
      <c r="F80" s="96"/>
      <c r="G80" s="62" t="s">
        <v>80</v>
      </c>
      <c r="H80" s="62" t="s">
        <v>102</v>
      </c>
      <c r="I80" s="143" t="s">
        <v>81</v>
      </c>
      <c r="J80" s="62" t="s">
        <v>82</v>
      </c>
      <c r="K80" s="62" t="s">
        <v>92</v>
      </c>
      <c r="L80" s="62" t="s">
        <v>84</v>
      </c>
      <c r="M80" s="62" t="s">
        <v>85</v>
      </c>
      <c r="N80" s="62" t="s">
        <v>43</v>
      </c>
      <c r="O80" s="62" t="s">
        <v>44</v>
      </c>
      <c r="P80" s="130" t="s">
        <v>103</v>
      </c>
      <c r="Q80" s="130" t="s">
        <v>104</v>
      </c>
      <c r="R80" s="130" t="s">
        <v>105</v>
      </c>
      <c r="S80" s="130" t="s">
        <v>106</v>
      </c>
      <c r="T80" s="130" t="s">
        <v>107</v>
      </c>
      <c r="U80" s="130" t="s">
        <v>108</v>
      </c>
      <c r="V80" s="130" t="s">
        <v>109</v>
      </c>
      <c r="W80" s="191" t="s">
        <v>110</v>
      </c>
      <c r="X80" s="130" t="s">
        <v>111</v>
      </c>
      <c r="Y80" s="130" t="s">
        <v>112</v>
      </c>
      <c r="Z80" s="130" t="s">
        <v>113</v>
      </c>
      <c r="AA80" s="130" t="s">
        <v>114</v>
      </c>
      <c r="AB80" s="130" t="s">
        <v>115</v>
      </c>
      <c r="AC80" s="190" t="s">
        <v>116</v>
      </c>
      <c r="AD80" s="115" t="s">
        <v>117</v>
      </c>
      <c r="AE80" s="115" t="s">
        <v>118</v>
      </c>
      <c r="AF80" s="117" t="s">
        <v>119</v>
      </c>
      <c r="AK80" s="140"/>
      <c r="AL80" s="140"/>
      <c r="AM80" s="140"/>
      <c r="AN80" s="140"/>
      <c r="AO80" s="140"/>
      <c r="AP80" s="140"/>
      <c r="AQ80" s="140"/>
      <c r="AR80" s="140"/>
      <c r="AS80" s="140"/>
      <c r="AT80" s="140"/>
      <c r="AU80" s="140"/>
      <c r="AV80" s="140"/>
      <c r="AW80" s="140"/>
      <c r="AX80" s="140"/>
      <c r="AY80" s="140"/>
      <c r="AZ80" s="140"/>
      <c r="BA80" s="140"/>
      <c r="BB80" s="140"/>
      <c r="BC80" s="140"/>
      <c r="BD80" s="140"/>
      <c r="BE80" s="140"/>
      <c r="BF80" s="140"/>
      <c r="BG80" s="140"/>
      <c r="BH80" s="140"/>
    </row>
    <row r="81" ht="31" customHeight="1" spans="1:60">
      <c r="A81" s="36"/>
      <c r="B81" s="144"/>
      <c r="C81" s="144"/>
      <c r="D81" s="150"/>
      <c r="E81" s="151"/>
      <c r="F81" s="152"/>
      <c r="G81" s="149"/>
      <c r="H81" s="149"/>
      <c r="I81" s="145"/>
      <c r="J81" s="166"/>
      <c r="K81" s="166"/>
      <c r="L81" s="167" t="str">
        <f>IF(B81&lt;&gt;"",SUM(V81:W81),"")</f>
        <v/>
      </c>
      <c r="M81" s="167" t="str">
        <f>IF(B81&lt;&gt;"",(SUM(P81:U81)+SUM(X81:AB81))*L81,"")</f>
        <v/>
      </c>
      <c r="N81" s="168"/>
      <c r="O81" s="168"/>
      <c r="P81" s="32">
        <f>IF(OR(I81="独立指导",I81="合作指导"),IF(AND(B81="国家级",OR(C81="一等奖",C81="金奖")),25,IF(AND(B81="国家级",OR(C81="二等奖",C81="银奖")),20,IF(AND(B81="国家级",OR(C81="三等奖",C81="铜奖",C81="无等级")),15,0))),0)</f>
        <v>0</v>
      </c>
      <c r="Q81" s="32">
        <f>IF(OR(I81="独立指导",I81="合作指导"),IF(AND(B81="市级",OR(C81="一等奖",C81="金奖")),6,IF(AND(B81="市级",OR(C81="二等奖",C81="银奖")),4,IF(AND(B81="市级",OR(C81="三等奖",C81="铜奖",C81="无等级")),2,0))),0)</f>
        <v>0</v>
      </c>
      <c r="R81" s="32">
        <f>IF(OR(I81="独立指导",I81="合作指导"),IF(AND(B81="校级",OR(C81="一等奖",C81="金奖")),3,IF(AND(B81="校级",OR(C81="二等奖",C81="银奖")),2,IF(AND(B81="校级",OR(C81="三等奖",C81="铜奖",C81="无等级")),1,0))),0)</f>
        <v>0</v>
      </c>
      <c r="S81" s="32">
        <f>IF(OR(I81="独立指导",I81="合作指导"),IF(AND(B81="世界技能大赛",OR(C81="一等奖",C81="金奖")),50,IF(AND(B81="世界技能大赛",OR(C81="二等奖",C81="银奖")),40,IF(AND(B81="世界技能大赛",OR(C81="三等奖",C81="铜奖",C81="无等级")),30,0))),0)</f>
        <v>0</v>
      </c>
      <c r="T81" s="32">
        <f>IF(OR(I81="独立指导",I81="合作指导"),IF(AND(B81="省级",OR(C81="一等奖",C81="金奖")),12,IF(AND(B81="省级",OR(C81="二等奖",C81="银奖")),9,IF(AND(B81="省级",OR(C81="三等奖",C81="铜奖",C81="无等级")),6,0))),0)</f>
        <v>0</v>
      </c>
      <c r="U81" s="192">
        <f>IF(OR(I81="独立指导",I81="合作指导"),IF(AND(B81="国家开放大学",OR(C81="一等奖",C81="金奖")),12,IF(AND(B81="国家开放大学",OR(C81="二等奖",C81="银奖")),9,IF(AND(B81="国家开放大学",OR(C81="三等奖",C81="铜奖",C81="无等级")),6,0))),0)</f>
        <v>0</v>
      </c>
      <c r="V81" s="168">
        <f>IF(I81="独立指导",1,IF(AND(I81="合作指导",K81=1),0.7,IF(AND(I81="合作指导",K81=2),0.3,IF(AND(I81="合作指导",K81&gt;2),0.1,0))))</f>
        <v>0</v>
      </c>
      <c r="W81" s="193">
        <f>IF(OR(I81="独立完成",I81="合作完成"),1,0)</f>
        <v>0</v>
      </c>
      <c r="X81" s="168">
        <f>IF(OR(I81="独立完成",I81="合作完成"),IF(AND(B81="国家级",OR(C81="一等奖",C81="金奖")),30,IF(AND(B81="国家级",OR(C81="二等奖",C81="银奖")),24,IF(AND(B81="国家级",OR(C81="三等奖",C81="铜奖",C81="无等级")),18,0))),0)</f>
        <v>0</v>
      </c>
      <c r="Y81" s="168">
        <f>IF(OR(I81="独立完成",I81="合作完成"),IF(AND(B81="市级",OR(C81="一等奖",C81="金奖")),9,IF(AND(B81="市级",OR(C81="二等奖",C81="银奖")),7,IF(AND(B81="市级",OR(C81="三等奖",C81="铜奖",C81="无等级")),5,0))),0)</f>
        <v>0</v>
      </c>
      <c r="Z81" s="168">
        <f>IF(OR(I81="独立完成",I81="合作完成"),IF(AND(B81="校级",OR(C81="一等奖",C81="金奖")),5,IF(AND(B81="校级",OR(C81="二等奖",C81="银奖")),3,IF(AND(B81="校级",OR(C81="三等奖",C81="铜奖",C81="无等级")),2,0))),0)</f>
        <v>0</v>
      </c>
      <c r="AA81" s="168">
        <f>IF(OR(I81="独立完成",I81="合作完成"),IF(AND(B81="国家开放大学",OR(C81="一等奖",C81="金奖")),15,IF(AND(B81="国家开放大学",OR(C81="二等奖",C81="银奖")),12,IF(AND(B81="国家开放大学",OR(C81="三等奖",C81="铜奖",C81="无等级")),9,0))),0)</f>
        <v>0</v>
      </c>
      <c r="AB81" s="168">
        <f>IF(OR(I81="独立完成",I81="合作完成"),IF(AND(B81="省级",OR(C81="一等奖",C81="金奖")),15,IF(AND(B81="省级",OR(C81="二等奖",C81="银奖")),12,IF(AND(B81="省级",OR(C81="三等奖",C81="铜奖",C81="无等级")),9,0))),0)</f>
        <v>0</v>
      </c>
      <c r="AC81" s="195">
        <f>IF(AND(OR(I81="独立完成",I81="合作完成",I81="独立指导",AND(I81="合作指导",AND(K81&lt;&gt;"",K81&lt;3))),OR(B81="国家级",B81="省级",B81="国家开放大学")),1,0)</f>
        <v>0</v>
      </c>
      <c r="AD81" s="195">
        <f>IF(AND(OR(I81="独立完成",I81="合作完成",I81="独立指导",AND(I81="合作指导",AND(K81&lt;&gt;"",K81&lt;3))),B81="市级"),1,0)</f>
        <v>0</v>
      </c>
      <c r="AE81" s="195">
        <f>IF(AND(OR(I81="独立完成",I81="合作完成",I81="独立指导",AND(I81="合作指导",AND(K81&lt;&gt;"",K81&lt;3))),B81="校级"),1,0)</f>
        <v>0</v>
      </c>
      <c r="AF81" s="117" t="str">
        <f>IF(OR(SUM(AC81:AC85)&gt;=1,SUM(AC81:AD85)&gt;=2,SUM(AC81:AE85)&gt;=3),"满足","不满足")</f>
        <v>不满足</v>
      </c>
      <c r="AK81" s="140"/>
      <c r="AL81" s="140"/>
      <c r="AM81" s="140"/>
      <c r="AN81" s="140"/>
      <c r="AO81" s="140"/>
      <c r="AP81" s="140"/>
      <c r="AQ81" s="140"/>
      <c r="AR81" s="140"/>
      <c r="AS81" s="140"/>
      <c r="AT81" s="140"/>
      <c r="AU81" s="140"/>
      <c r="AV81" s="140"/>
      <c r="AW81" s="140"/>
      <c r="AX81" s="140"/>
      <c r="AY81" s="140"/>
      <c r="AZ81" s="140"/>
      <c r="BA81" s="140"/>
      <c r="BB81" s="140"/>
      <c r="BC81" s="140"/>
      <c r="BD81" s="140"/>
      <c r="BE81" s="140"/>
      <c r="BF81" s="140"/>
      <c r="BG81" s="140"/>
      <c r="BH81" s="140"/>
    </row>
    <row r="82" ht="31" customHeight="1" spans="1:60">
      <c r="A82" s="36"/>
      <c r="B82" s="144"/>
      <c r="C82" s="144"/>
      <c r="D82" s="150"/>
      <c r="E82" s="151"/>
      <c r="F82" s="152"/>
      <c r="G82" s="149"/>
      <c r="H82" s="149"/>
      <c r="I82" s="145"/>
      <c r="J82" s="166"/>
      <c r="K82" s="166"/>
      <c r="L82" s="167" t="str">
        <f>IF(B82&lt;&gt;"",SUM(V82:W82),"")</f>
        <v/>
      </c>
      <c r="M82" s="167" t="str">
        <f>IF(B82&lt;&gt;"",(SUM(P82:U82)+SUM(X82:AB82))*L82,"")</f>
        <v/>
      </c>
      <c r="N82" s="168"/>
      <c r="O82" s="168"/>
      <c r="P82" s="32">
        <f>IF(OR(I82="独立指导",I82="合作指导"),IF(AND(B82="国家级",OR(C82="一等奖",C82="金奖")),25,IF(AND(B82="国家级",OR(C82="二等奖",C82="银奖")),20,IF(AND(B82="国家级",OR(C82="三等奖",C82="铜奖",C82="无等级")),15,0))),0)</f>
        <v>0</v>
      </c>
      <c r="Q82" s="32">
        <f>IF(OR(I82="独立指导",I82="合作指导"),IF(AND(B82="市级",OR(C82="一等奖",C82="金奖")),6,IF(AND(B82="市级",OR(C82="二等奖",C82="银奖")),4,IF(AND(B82="市级",OR(C82="三等奖",C82="铜奖",C82="无等级")),2,0))),0)</f>
        <v>0</v>
      </c>
      <c r="R82" s="32">
        <f>IF(OR(I82="独立指导",I82="合作指导"),IF(AND(B82="校级",OR(C82="一等奖",C82="金奖")),3,IF(AND(B82="校级",OR(C82="二等奖",C82="银奖")),2,IF(AND(B82="校级",OR(C82="三等奖",C82="铜奖",C82="无等级")),1,0))),0)</f>
        <v>0</v>
      </c>
      <c r="S82" s="32">
        <f>IF(OR(I82="独立指导",I82="合作指导"),IF(AND(B82="世界技能大赛",OR(C82="一等奖",C82="金奖")),50,IF(AND(B82="世界技能大赛",OR(C82="二等奖",C82="银奖")),40,IF(AND(B82="世界技能大赛",OR(C82="三等奖",C82="铜奖",C82="无等级")),30,0))),0)</f>
        <v>0</v>
      </c>
      <c r="T82" s="32">
        <f>IF(OR(I82="独立指导",I82="合作指导"),IF(AND(B82="省级",OR(C82="一等奖",C82="金奖")),12,IF(AND(B82="省级",OR(C82="二等奖",C82="银奖")),9,IF(AND(B82="省级",OR(C82="三等奖",C82="铜奖",C82="无等级")),6,0))),0)</f>
        <v>0</v>
      </c>
      <c r="U82" s="192">
        <f>IF(OR(I82="独立指导",I82="合作指导"),IF(AND(B82="国家开放大学",OR(C82="一等奖",C82="金奖")),12,IF(AND(B82="国家开放大学",OR(C82="二等奖",C82="银奖")),9,IF(AND(B82="国家开放大学",OR(C82="三等奖",C82="铜奖",C82="无等级")),6,0))),0)</f>
        <v>0</v>
      </c>
      <c r="V82" s="168">
        <f>IF(I82="独立指导",1,IF(AND(I82="合作指导",K82=1),0.7,IF(AND(I82="合作指导",K82=2),0.3,IF(AND(I82="合作指导",K82&gt;2),0.1,0))))</f>
        <v>0</v>
      </c>
      <c r="W82" s="193">
        <f>IF(OR(I82="独立完成",I82="合作完成"),1,0)</f>
        <v>0</v>
      </c>
      <c r="X82" s="168">
        <f>IF(OR(I82="独立完成",I82="合作完成"),IF(AND(B82="国家级",OR(C82="一等奖",C82="金奖")),30,IF(AND(B82="国家级",OR(C82="二等奖",C82="银奖")),24,IF(AND(B82="国家级",OR(C82="三等奖",C82="铜奖",C82="无等级")),18,0))),0)</f>
        <v>0</v>
      </c>
      <c r="Y82" s="168">
        <f>IF(OR(I82="独立完成",I82="合作完成"),IF(AND(B82="市级",OR(C82="一等奖",C82="金奖")),9,IF(AND(B82="市级",OR(C82="二等奖",C82="银奖")),7,IF(AND(B82="市级",OR(C82="三等奖",C82="铜奖",C82="无等级")),5,0))),0)</f>
        <v>0</v>
      </c>
      <c r="Z82" s="168">
        <f>IF(OR(I82="独立完成",I82="合作完成"),IF(AND(B82="校级",OR(C82="一等奖",C82="金奖")),5,IF(AND(B82="校级",OR(C82="二等奖",C82="银奖")),3,IF(AND(B82="校级",OR(C82="三等奖",C82="铜奖",C82="无等级")),2,0))),0)</f>
        <v>0</v>
      </c>
      <c r="AA82" s="168">
        <f>IF(OR(I82="独立完成",I82="合作完成"),IF(AND(B82="国家开放大学",OR(C82="一等奖",C82="金奖")),15,IF(AND(B82="国家开放大学",OR(C82="二等奖",C82="银奖")),12,IF(AND(B82="国家开放大学",OR(C82="三等奖",C82="铜奖",C82="无等级")),9,0))),0)</f>
        <v>0</v>
      </c>
      <c r="AB82" s="168">
        <f>IF(OR(I82="独立完成",I82="合作完成"),IF(AND(B82="省级",OR(C82="一等奖",C82="金奖")),15,IF(AND(B82="省级",OR(C82="二等奖",C82="银奖")),12,IF(AND(B82="省级",OR(C82="三等奖",C82="铜奖",C82="无等级")),9,0))),0)</f>
        <v>0</v>
      </c>
      <c r="AC82" s="195">
        <f>IF(AND(OR(I82="独立完成",I82="合作完成",I82="独立指导",AND(I82="合作指导",AND(K82&lt;&gt;"",K82&lt;3))),OR(B82="国家级",B82="省级",B82="国家开放大学")),1,0)</f>
        <v>0</v>
      </c>
      <c r="AD82" s="195">
        <f>IF(AND(OR(I82="独立完成",I82="合作完成",I82="独立指导",AND(I82="合作指导",AND(K82&lt;&gt;"",K82&lt;3))),B82="市级"),1,0)</f>
        <v>0</v>
      </c>
      <c r="AE82" s="195">
        <f>IF(AND(OR(I82="独立完成",I82="合作完成",I82="独立指导",AND(I82="合作指导",AND(K82&lt;&gt;"",K82&lt;3))),B82="校级"),1,0)</f>
        <v>0</v>
      </c>
      <c r="AK82" s="140"/>
      <c r="AL82" s="140"/>
      <c r="AM82" s="140"/>
      <c r="AN82" s="140"/>
      <c r="AO82" s="140"/>
      <c r="AP82" s="140"/>
      <c r="AQ82" s="140"/>
      <c r="AR82" s="140"/>
      <c r="AS82" s="140"/>
      <c r="AT82" s="140"/>
      <c r="AU82" s="140"/>
      <c r="AV82" s="140"/>
      <c r="AW82" s="140"/>
      <c r="AX82" s="140"/>
      <c r="AY82" s="140"/>
      <c r="AZ82" s="140"/>
      <c r="BA82" s="140"/>
      <c r="BB82" s="140"/>
      <c r="BC82" s="140"/>
      <c r="BD82" s="140"/>
      <c r="BE82" s="140"/>
      <c r="BF82" s="140"/>
      <c r="BG82" s="140"/>
      <c r="BH82" s="140"/>
    </row>
    <row r="83" ht="31" customHeight="1" spans="1:60">
      <c r="A83" s="36"/>
      <c r="B83" s="144"/>
      <c r="C83" s="144"/>
      <c r="D83" s="150"/>
      <c r="E83" s="151"/>
      <c r="F83" s="152"/>
      <c r="G83" s="149"/>
      <c r="H83" s="149"/>
      <c r="I83" s="145"/>
      <c r="J83" s="166"/>
      <c r="K83" s="166"/>
      <c r="L83" s="167" t="str">
        <f>IF(B83&lt;&gt;"",SUM(V83:W83),"")</f>
        <v/>
      </c>
      <c r="M83" s="167" t="str">
        <f>IF(B83&lt;&gt;"",(SUM(P83:U83)+SUM(X83:AB83))*L83,"")</f>
        <v/>
      </c>
      <c r="N83" s="168"/>
      <c r="O83" s="168"/>
      <c r="P83" s="32">
        <f>IF(OR(I83="独立指导",I83="合作指导"),IF(AND(B83="国家级",OR(C83="一等奖",C83="金奖")),25,IF(AND(B83="国家级",OR(C83="二等奖",C83="银奖")),20,IF(AND(B83="国家级",OR(C83="三等奖",C83="铜奖",C83="无等级")),15,0))),0)</f>
        <v>0</v>
      </c>
      <c r="Q83" s="32">
        <f>IF(OR(I83="独立指导",I83="合作指导"),IF(AND(B83="市级",OR(C83="一等奖",C83="金奖")),6,IF(AND(B83="市级",OR(C83="二等奖",C83="银奖")),4,IF(AND(B83="市级",OR(C83="三等奖",C83="铜奖",C83="无等级")),2,0))),0)</f>
        <v>0</v>
      </c>
      <c r="R83" s="32">
        <f>IF(OR(I83="独立指导",I83="合作指导"),IF(AND(B83="校级",OR(C83="一等奖",C83="金奖")),3,IF(AND(B83="校级",OR(C83="二等奖",C83="银奖")),2,IF(AND(B83="校级",OR(C83="三等奖",C83="铜奖",C83="无等级")),1,0))),0)</f>
        <v>0</v>
      </c>
      <c r="S83" s="32">
        <f>IF(OR(I83="独立指导",I83="合作指导"),IF(AND(B83="世界技能大赛",OR(C83="一等奖",C83="金奖")),50,IF(AND(B83="世界技能大赛",OR(C83="二等奖",C83="银奖")),40,IF(AND(B83="世界技能大赛",OR(C83="三等奖",C83="铜奖",C83="无等级")),30,0))),0)</f>
        <v>0</v>
      </c>
      <c r="T83" s="32">
        <f>IF(OR(I83="独立指导",I83="合作指导"),IF(AND(B83="省级",OR(C83="一等奖",C83="金奖")),12,IF(AND(B83="省级",OR(C83="二等奖",C83="银奖")),9,IF(AND(B83="省级",OR(C83="三等奖",C83="铜奖",C83="无等级")),6,0))),0)</f>
        <v>0</v>
      </c>
      <c r="U83" s="192">
        <f>IF(OR(I83="独立指导",I83="合作指导"),IF(AND(B83="国家开放大学",OR(C83="一等奖",C83="金奖")),12,IF(AND(B83="国家开放大学",OR(C83="二等奖",C83="银奖")),9,IF(AND(B83="国家开放大学",OR(C83="三等奖",C83="铜奖",C83="无等级")),6,0))),0)</f>
        <v>0</v>
      </c>
      <c r="V83" s="168">
        <f>IF(I83="独立指导",1,IF(AND(I83="合作指导",K83=1),0.7,IF(AND(I83="合作指导",K83=2),0.3,IF(AND(I83="合作指导",K83&gt;2),0.1,0))))</f>
        <v>0</v>
      </c>
      <c r="W83" s="193">
        <f>IF(OR(I83="独立完成",I83="合作完成"),1,0)</f>
        <v>0</v>
      </c>
      <c r="X83" s="168">
        <f>IF(OR(I83="独立完成",I83="合作完成"),IF(AND(B83="国家级",OR(C83="一等奖",C83="金奖")),30,IF(AND(B83="国家级",OR(C83="二等奖",C83="银奖")),24,IF(AND(B83="国家级",OR(C83="三等奖",C83="铜奖",C83="无等级")),18,0))),0)</f>
        <v>0</v>
      </c>
      <c r="Y83" s="168">
        <f>IF(OR(I83="独立完成",I83="合作完成"),IF(AND(B83="市级",OR(C83="一等奖",C83="金奖")),9,IF(AND(B83="市级",OR(C83="二等奖",C83="银奖")),7,IF(AND(B83="市级",OR(C83="三等奖",C83="铜奖",C83="无等级")),5,0))),0)</f>
        <v>0</v>
      </c>
      <c r="Z83" s="168">
        <f>IF(OR(I83="独立完成",I83="合作完成"),IF(AND(B83="校级",OR(C83="一等奖",C83="金奖")),5,IF(AND(B83="校级",OR(C83="二等奖",C83="银奖")),3,IF(AND(B83="校级",OR(C83="三等奖",C83="铜奖",C83="无等级")),2,0))),0)</f>
        <v>0</v>
      </c>
      <c r="AA83" s="168">
        <f>IF(OR(I83="独立完成",I83="合作完成"),IF(AND(B83="国家开放大学",OR(C83="一等奖",C83="金奖")),15,IF(AND(B83="国家开放大学",OR(C83="二等奖",C83="银奖")),12,IF(AND(B83="国家开放大学",OR(C83="三等奖",C83="铜奖",C83="无等级")),9,0))),0)</f>
        <v>0</v>
      </c>
      <c r="AB83" s="168">
        <f>IF(OR(I83="独立完成",I83="合作完成"),IF(AND(B83="省级",OR(C83="一等奖",C83="金奖")),15,IF(AND(B83="省级",OR(C83="二等奖",C83="银奖")),12,IF(AND(B83="省级",OR(C83="三等奖",C83="铜奖",C83="无等级")),9,0))),0)</f>
        <v>0</v>
      </c>
      <c r="AC83" s="195">
        <f>IF(AND(OR(I83="独立完成",I83="合作完成",I83="独立指导",AND(I83="合作指导",AND(K83&lt;&gt;"",K83&lt;3))),OR(B83="国家级",B83="省级",B83="国家开放大学")),1,0)</f>
        <v>0</v>
      </c>
      <c r="AD83" s="195">
        <f>IF(AND(OR(I83="独立完成",I83="合作完成",I83="独立指导",AND(I83="合作指导",AND(K83&lt;&gt;"",K83&lt;3))),B83="市级"),1,0)</f>
        <v>0</v>
      </c>
      <c r="AE83" s="195">
        <f>IF(AND(OR(I83="独立完成",I83="合作完成",I83="独立指导",AND(I83="合作指导",AND(K83&lt;&gt;"",K83&lt;3))),B83="校级"),1,0)</f>
        <v>0</v>
      </c>
      <c r="AK83" s="140"/>
      <c r="AL83" s="140"/>
      <c r="AM83" s="140"/>
      <c r="AN83" s="140"/>
      <c r="AO83" s="140"/>
      <c r="AP83" s="140"/>
      <c r="AQ83" s="140"/>
      <c r="AR83" s="140"/>
      <c r="AS83" s="140"/>
      <c r="AT83" s="140"/>
      <c r="AU83" s="140"/>
      <c r="AV83" s="140"/>
      <c r="AW83" s="140"/>
      <c r="AX83" s="140"/>
      <c r="AY83" s="140"/>
      <c r="AZ83" s="140"/>
      <c r="BA83" s="140"/>
      <c r="BB83" s="140"/>
      <c r="BC83" s="140"/>
      <c r="BD83" s="140"/>
      <c r="BE83" s="140"/>
      <c r="BF83" s="140"/>
      <c r="BG83" s="140"/>
      <c r="BH83" s="140"/>
    </row>
    <row r="84" ht="31" customHeight="1" spans="1:60">
      <c r="A84" s="36"/>
      <c r="B84" s="144"/>
      <c r="C84" s="144"/>
      <c r="D84" s="150"/>
      <c r="E84" s="151"/>
      <c r="F84" s="152"/>
      <c r="G84" s="149"/>
      <c r="H84" s="149"/>
      <c r="I84" s="145"/>
      <c r="J84" s="166"/>
      <c r="K84" s="166"/>
      <c r="L84" s="167" t="str">
        <f>IF(B84&lt;&gt;"",SUM(V84:W84),"")</f>
        <v/>
      </c>
      <c r="M84" s="167" t="str">
        <f>IF(B84&lt;&gt;"",(SUM(P84:U84)+SUM(X84:AB84))*L84,"")</f>
        <v/>
      </c>
      <c r="N84" s="168"/>
      <c r="O84" s="168"/>
      <c r="P84" s="32">
        <f>IF(OR(I84="独立指导",I84="合作指导"),IF(AND(B84="国家级",OR(C84="一等奖",C84="金奖")),25,IF(AND(B84="国家级",OR(C84="二等奖",C84="银奖")),20,IF(AND(B84="国家级",OR(C84="三等奖",C84="铜奖",C84="无等级")),15,0))),0)</f>
        <v>0</v>
      </c>
      <c r="Q84" s="32">
        <f>IF(OR(I84="独立指导",I84="合作指导"),IF(AND(B84="市级",OR(C84="一等奖",C84="金奖")),6,IF(AND(B84="市级",OR(C84="二等奖",C84="银奖")),4,IF(AND(B84="市级",OR(C84="三等奖",C84="铜奖",C84="无等级")),2,0))),0)</f>
        <v>0</v>
      </c>
      <c r="R84" s="32">
        <f>IF(OR(I84="独立指导",I84="合作指导"),IF(AND(B84="校级",OR(C84="一等奖",C84="金奖")),3,IF(AND(B84="校级",OR(C84="二等奖",C84="银奖")),2,IF(AND(B84="校级",OR(C84="三等奖",C84="铜奖",C84="无等级")),1,0))),0)</f>
        <v>0</v>
      </c>
      <c r="S84" s="32">
        <f>IF(OR(I84="独立指导",I84="合作指导"),IF(AND(B84="世界技能大赛",OR(C84="一等奖",C84="金奖")),50,IF(AND(B84="世界技能大赛",OR(C84="二等奖",C84="银奖")),40,IF(AND(B84="世界技能大赛",OR(C84="三等奖",C84="铜奖",C84="无等级")),30,0))),0)</f>
        <v>0</v>
      </c>
      <c r="T84" s="32">
        <f>IF(OR(I84="独立指导",I84="合作指导"),IF(AND(B84="省级",OR(C84="一等奖",C84="金奖")),12,IF(AND(B84="省级",OR(C84="二等奖",C84="银奖")),9,IF(AND(B84="省级",OR(C84="三等奖",C84="铜奖",C84="无等级")),6,0))),0)</f>
        <v>0</v>
      </c>
      <c r="U84" s="192">
        <f>IF(OR(I84="独立指导",I84="合作指导"),IF(AND(B84="国家开放大学",OR(C84="一等奖",C84="金奖")),12,IF(AND(B84="国家开放大学",OR(C84="二等奖",C84="银奖")),9,IF(AND(B84="国家开放大学",OR(C84="三等奖",C84="铜奖",C84="无等级")),6,0))),0)</f>
        <v>0</v>
      </c>
      <c r="V84" s="168">
        <f>IF(I84="独立指导",1,IF(AND(I84="合作指导",K84=1),0.7,IF(AND(I84="合作指导",K84=2),0.3,IF(AND(I84="合作指导",K84&gt;2),0.1,0))))</f>
        <v>0</v>
      </c>
      <c r="W84" s="193">
        <f>IF(OR(I84="独立完成",I84="合作完成"),1,0)</f>
        <v>0</v>
      </c>
      <c r="X84" s="168">
        <f>IF(OR(I84="独立完成",I84="合作完成"),IF(AND(B84="国家级",OR(C84="一等奖",C84="金奖")),30,IF(AND(B84="国家级",OR(C84="二等奖",C84="银奖")),24,IF(AND(B84="国家级",OR(C84="三等奖",C84="铜奖",C84="无等级")),18,0))),0)</f>
        <v>0</v>
      </c>
      <c r="Y84" s="168">
        <f>IF(OR(I84="独立完成",I84="合作完成"),IF(AND(B84="市级",OR(C84="一等奖",C84="金奖")),9,IF(AND(B84="市级",OR(C84="二等奖",C84="银奖")),7,IF(AND(B84="市级",OR(C84="三等奖",C84="铜奖",C84="无等级")),5,0))),0)</f>
        <v>0</v>
      </c>
      <c r="Z84" s="168">
        <f>IF(OR(I84="独立完成",I84="合作完成"),IF(AND(B84="校级",OR(C84="一等奖",C84="金奖")),5,IF(AND(B84="校级",OR(C84="二等奖",C84="银奖")),3,IF(AND(B84="校级",OR(C84="三等奖",C84="铜奖",C84="无等级")),2,0))),0)</f>
        <v>0</v>
      </c>
      <c r="AA84" s="168">
        <f>IF(OR(I84="独立完成",I84="合作完成"),IF(AND(B84="国家开放大学",OR(C84="一等奖",C84="金奖")),15,IF(AND(B84="国家开放大学",OR(C84="二等奖",C84="银奖")),12,IF(AND(B84="国家开放大学",OR(C84="三等奖",C84="铜奖",C84="无等级")),9,0))),0)</f>
        <v>0</v>
      </c>
      <c r="AB84" s="168">
        <f>IF(OR(I84="独立完成",I84="合作完成"),IF(AND(B84="省级",OR(C84="一等奖",C84="金奖")),15,IF(AND(B84="省级",OR(C84="二等奖",C84="银奖")),12,IF(AND(B84="省级",OR(C84="三等奖",C84="铜奖",C84="无等级")),9,0))),0)</f>
        <v>0</v>
      </c>
      <c r="AC84" s="195">
        <f>IF(AND(OR(I84="独立完成",I84="合作完成",I84="独立指导",AND(I84="合作指导",AND(K84&lt;&gt;"",K84&lt;3))),OR(B84="国家级",B84="省级",B84="国家开放大学")),1,0)</f>
        <v>0</v>
      </c>
      <c r="AD84" s="195">
        <f>IF(AND(OR(I84="独立完成",I84="合作完成",I84="独立指导",AND(I84="合作指导",AND(K84&lt;&gt;"",K84&lt;3))),B84="市级"),1,0)</f>
        <v>0</v>
      </c>
      <c r="AE84" s="195">
        <f>IF(AND(OR(I84="独立完成",I84="合作完成",I84="独立指导",AND(I84="合作指导",AND(K84&lt;&gt;"",K84&lt;3))),B84="校级"),1,0)</f>
        <v>0</v>
      </c>
      <c r="AK84" s="140"/>
      <c r="AL84" s="140"/>
      <c r="AM84" s="140"/>
      <c r="AN84" s="140"/>
      <c r="AO84" s="140"/>
      <c r="AP84" s="140"/>
      <c r="AQ84" s="140"/>
      <c r="AR84" s="140"/>
      <c r="AS84" s="140"/>
      <c r="AT84" s="140"/>
      <c r="AU84" s="140"/>
      <c r="AV84" s="140"/>
      <c r="AW84" s="140"/>
      <c r="AX84" s="140"/>
      <c r="AY84" s="140"/>
      <c r="AZ84" s="140"/>
      <c r="BA84" s="140"/>
      <c r="BB84" s="140"/>
      <c r="BC84" s="140"/>
      <c r="BD84" s="140"/>
      <c r="BE84" s="140"/>
      <c r="BF84" s="140"/>
      <c r="BG84" s="140"/>
      <c r="BH84" s="140"/>
    </row>
    <row r="85" ht="31" customHeight="1" spans="1:60">
      <c r="A85" s="36"/>
      <c r="B85" s="144"/>
      <c r="C85" s="144"/>
      <c r="D85" s="150"/>
      <c r="E85" s="151"/>
      <c r="F85" s="152"/>
      <c r="G85" s="149"/>
      <c r="H85" s="149"/>
      <c r="I85" s="145"/>
      <c r="J85" s="166"/>
      <c r="K85" s="166"/>
      <c r="L85" s="167" t="str">
        <f>IF(B85&lt;&gt;"",SUM(V85:W85),"")</f>
        <v/>
      </c>
      <c r="M85" s="167" t="str">
        <f>IF(B85&lt;&gt;"",(SUM(P85:U85)+SUM(X85:AB85))*L85,"")</f>
        <v/>
      </c>
      <c r="N85" s="168"/>
      <c r="O85" s="168"/>
      <c r="P85" s="32">
        <f>IF(OR(I85="独立指导",I85="合作指导"),IF(AND(B85="国家级",OR(C85="一等奖",C85="金奖")),25,IF(AND(B85="国家级",OR(C85="二等奖",C85="银奖")),20,IF(AND(B85="国家级",OR(C85="三等奖",C85="铜奖",C85="无等级")),15,0))),0)</f>
        <v>0</v>
      </c>
      <c r="Q85" s="32">
        <f>IF(OR(I85="独立指导",I85="合作指导"),IF(AND(B85="市级",OR(C85="一等奖",C85="金奖")),6,IF(AND(B85="市级",OR(C85="二等奖",C85="银奖")),4,IF(AND(B85="市级",OR(C85="三等奖",C85="铜奖",C85="无等级")),2,0))),0)</f>
        <v>0</v>
      </c>
      <c r="R85" s="32">
        <f>IF(OR(I85="独立指导",I85="合作指导"),IF(AND(B85="校级",OR(C85="一等奖",C85="金奖")),3,IF(AND(B85="校级",OR(C85="二等奖",C85="银奖")),2,IF(AND(B85="校级",OR(C85="三等奖",C85="铜奖",C85="无等级")),1,0))),0)</f>
        <v>0</v>
      </c>
      <c r="S85" s="32">
        <f>IF(OR(I85="独立指导",I85="合作指导"),IF(AND(B85="世界技能大赛",OR(C85="一等奖",C85="金奖")),50,IF(AND(B85="世界技能大赛",OR(C85="二等奖",C85="银奖")),40,IF(AND(B85="世界技能大赛",OR(C85="三等奖",C85="铜奖",C85="无等级")),30,0))),0)</f>
        <v>0</v>
      </c>
      <c r="T85" s="32">
        <f>IF(OR(I85="独立指导",I85="合作指导"),IF(AND(B85="省级",OR(C85="一等奖",C85="金奖")),12,IF(AND(B85="省级",OR(C85="二等奖",C85="银奖")),9,IF(AND(B85="省级",OR(C85="三等奖",C85="铜奖",C85="无等级")),6,0))),0)</f>
        <v>0</v>
      </c>
      <c r="U85" s="192">
        <f>IF(OR(I85="独立指导",I85="合作指导"),IF(AND(B85="国家开放大学",OR(C85="一等奖",C85="金奖")),12,IF(AND(B85="国家开放大学",OR(C85="二等奖",C85="银奖")),9,IF(AND(B85="国家开放大学",OR(C85="三等奖",C85="铜奖",C85="无等级")),6,0))),0)</f>
        <v>0</v>
      </c>
      <c r="V85" s="168">
        <f>IF(I85="独立指导",1,IF(AND(I85="合作指导",K85=1),0.7,IF(AND(I85="合作指导",K85=2),0.3,IF(AND(I85="合作指导",K85&gt;2),0.1,0))))</f>
        <v>0</v>
      </c>
      <c r="W85" s="193">
        <f>IF(OR(I85="独立完成",I85="合作完成"),1,0)</f>
        <v>0</v>
      </c>
      <c r="X85" s="168">
        <f>IF(OR(I85="独立完成",I85="合作完成"),IF(AND(B85="国家级",OR(C85="一等奖",C85="金奖")),30,IF(AND(B85="国家级",OR(C85="二等奖",C85="银奖")),24,IF(AND(B85="国家级",OR(C85="三等奖",C85="铜奖",C85="无等级")),18,0))),0)</f>
        <v>0</v>
      </c>
      <c r="Y85" s="168">
        <f>IF(OR(I85="独立完成",I85="合作完成"),IF(AND(B85="市级",OR(C85="一等奖",C85="金奖")),9,IF(AND(B85="市级",OR(C85="二等奖",C85="银奖")),7,IF(AND(B85="市级",OR(C85="三等奖",C85="铜奖",C85="无等级")),5,0))),0)</f>
        <v>0</v>
      </c>
      <c r="Z85" s="168">
        <f>IF(OR(I85="独立完成",I85="合作完成"),IF(AND(B85="校级",OR(C85="一等奖",C85="金奖")),5,IF(AND(B85="校级",OR(C85="二等奖",C85="银奖")),3,IF(AND(B85="校级",OR(C85="三等奖",C85="铜奖",C85="无等级")),2,0))),0)</f>
        <v>0</v>
      </c>
      <c r="AA85" s="168">
        <f>IF(OR(I85="独立完成",I85="合作完成"),IF(AND(B85="国家开放大学",OR(C85="一等奖",C85="金奖")),15,IF(AND(B85="国家开放大学",OR(C85="二等奖",C85="银奖")),12,IF(AND(B85="国家开放大学",OR(C85="三等奖",C85="铜奖",C85="无等级")),9,0))),0)</f>
        <v>0</v>
      </c>
      <c r="AB85" s="168">
        <f>IF(OR(I85="独立完成",I85="合作完成"),IF(AND(B85="省级",OR(C85="一等奖",C85="金奖")),15,IF(AND(B85="省级",OR(C85="二等奖",C85="银奖")),12,IF(AND(B85="省级",OR(C85="三等奖",C85="铜奖",C85="无等级")),9,0))),0)</f>
        <v>0</v>
      </c>
      <c r="AC85" s="195">
        <f>IF(AND(OR(I85="独立完成",I85="合作完成",I85="独立指导",AND(I85="合作指导",AND(K85&lt;&gt;"",K85&lt;3))),OR(B85="国家级",B85="省级",B85="国家开放大学")),1,0)</f>
        <v>0</v>
      </c>
      <c r="AD85" s="195">
        <f>IF(AND(OR(I85="独立完成",I85="合作完成",I85="独立指导",AND(I85="合作指导",AND(K85&lt;&gt;"",K85&lt;3))),B85="市级"),1,0)</f>
        <v>0</v>
      </c>
      <c r="AE85" s="195">
        <f>IF(AND(OR(I85="独立完成",I85="合作完成",I85="独立指导",AND(I85="合作指导",AND(K85&lt;&gt;"",K85&lt;3))),B85="校级"),1,0)</f>
        <v>0</v>
      </c>
      <c r="AK85" s="140"/>
      <c r="AL85" s="140"/>
      <c r="AM85" s="140"/>
      <c r="AN85" s="140"/>
      <c r="AO85" s="140"/>
      <c r="AP85" s="140"/>
      <c r="AQ85" s="140"/>
      <c r="AR85" s="140"/>
      <c r="AS85" s="140"/>
      <c r="AT85" s="140"/>
      <c r="AU85" s="140"/>
      <c r="AV85" s="140"/>
      <c r="AW85" s="140"/>
      <c r="AX85" s="140"/>
      <c r="AY85" s="140"/>
      <c r="AZ85" s="140"/>
      <c r="BA85" s="140"/>
      <c r="BB85" s="140"/>
      <c r="BC85" s="140"/>
      <c r="BD85" s="140"/>
      <c r="BE85" s="140"/>
      <c r="BF85" s="140"/>
      <c r="BG85" s="140"/>
      <c r="BH85" s="140"/>
    </row>
    <row r="86" ht="31" customHeight="1" spans="1:60">
      <c r="A86" s="36"/>
      <c r="B86" s="146" t="s">
        <v>89</v>
      </c>
      <c r="C86" s="147"/>
      <c r="D86" s="147"/>
      <c r="E86" s="147"/>
      <c r="F86" s="147"/>
      <c r="G86" s="147"/>
      <c r="H86" s="147"/>
      <c r="I86" s="147"/>
      <c r="J86" s="147"/>
      <c r="K86" s="147"/>
      <c r="L86" s="169"/>
      <c r="M86" s="167">
        <f>IF(M81&lt;&gt;"",SUM(M81:M85),0)</f>
        <v>0</v>
      </c>
      <c r="N86" s="170"/>
      <c r="O86" s="170"/>
      <c r="AK86" s="140"/>
      <c r="AL86" s="140"/>
      <c r="AM86" s="140"/>
      <c r="AN86" s="140"/>
      <c r="AO86" s="140"/>
      <c r="AP86" s="140"/>
      <c r="AQ86" s="140"/>
      <c r="AR86" s="140"/>
      <c r="AS86" s="140"/>
      <c r="AT86" s="140"/>
      <c r="AU86" s="140"/>
      <c r="AV86" s="140"/>
      <c r="AW86" s="140"/>
      <c r="AX86" s="140"/>
      <c r="AY86" s="140"/>
      <c r="AZ86" s="140"/>
      <c r="BA86" s="140"/>
      <c r="BB86" s="140"/>
      <c r="BC86" s="140"/>
      <c r="BD86" s="140"/>
      <c r="BE86" s="140"/>
      <c r="BF86" s="140"/>
      <c r="BG86" s="140"/>
      <c r="BH86" s="140"/>
    </row>
    <row r="87" ht="31" customHeight="1" spans="1:60">
      <c r="A87" s="36"/>
      <c r="B87" s="148" t="s">
        <v>120</v>
      </c>
      <c r="C87" s="148"/>
      <c r="D87" s="148"/>
      <c r="E87" s="148"/>
      <c r="F87" s="148"/>
      <c r="G87" s="148"/>
      <c r="H87" s="148"/>
      <c r="I87" s="148"/>
      <c r="J87" s="148"/>
      <c r="K87" s="148"/>
      <c r="L87" s="148"/>
      <c r="M87" s="148"/>
      <c r="N87" s="148"/>
      <c r="O87" s="148"/>
      <c r="AK87" s="140"/>
      <c r="AL87" s="140"/>
      <c r="AM87" s="140"/>
      <c r="AN87" s="140"/>
      <c r="AO87" s="140"/>
      <c r="AP87" s="140"/>
      <c r="AQ87" s="140"/>
      <c r="AR87" s="140"/>
      <c r="AS87" s="140"/>
      <c r="AT87" s="140"/>
      <c r="AU87" s="140"/>
      <c r="AV87" s="140"/>
      <c r="AW87" s="140"/>
      <c r="AX87" s="140"/>
      <c r="AY87" s="140"/>
      <c r="AZ87" s="140"/>
      <c r="BA87" s="140"/>
      <c r="BB87" s="140"/>
      <c r="BC87" s="140"/>
      <c r="BD87" s="140"/>
      <c r="BE87" s="140"/>
      <c r="BF87" s="140"/>
      <c r="BG87" s="140"/>
      <c r="BH87" s="140"/>
    </row>
    <row r="88" ht="31" customHeight="1" spans="1:60">
      <c r="A88" s="36"/>
      <c r="B88" s="97" t="s">
        <v>121</v>
      </c>
      <c r="C88" s="96"/>
      <c r="D88" s="97" t="s">
        <v>122</v>
      </c>
      <c r="E88" s="113"/>
      <c r="F88" s="96"/>
      <c r="G88" s="62" t="s">
        <v>123</v>
      </c>
      <c r="H88" s="97" t="s">
        <v>124</v>
      </c>
      <c r="I88" s="113"/>
      <c r="J88" s="113"/>
      <c r="K88" s="96"/>
      <c r="L88" s="62" t="s">
        <v>84</v>
      </c>
      <c r="M88" s="62" t="s">
        <v>85</v>
      </c>
      <c r="N88" s="62" t="s">
        <v>43</v>
      </c>
      <c r="O88" s="62" t="s">
        <v>44</v>
      </c>
      <c r="P88" s="130" t="s">
        <v>125</v>
      </c>
      <c r="Q88" s="130" t="s">
        <v>126</v>
      </c>
      <c r="R88" s="130" t="s">
        <v>127</v>
      </c>
      <c r="S88" s="130" t="s">
        <v>128</v>
      </c>
      <c r="T88" s="130" t="s">
        <v>129</v>
      </c>
      <c r="U88" s="190" t="s">
        <v>130</v>
      </c>
      <c r="V88" s="190" t="s">
        <v>131</v>
      </c>
      <c r="W88" s="190" t="s">
        <v>132</v>
      </c>
      <c r="X88" s="190" t="s">
        <v>119</v>
      </c>
      <c r="Y88" s="130"/>
      <c r="Z88" s="130"/>
      <c r="AA88" s="130"/>
      <c r="AB88" s="130" t="s">
        <v>133</v>
      </c>
      <c r="AC88" s="130" t="s">
        <v>134</v>
      </c>
      <c r="AK88" s="140"/>
      <c r="AL88" s="140"/>
      <c r="AM88" s="140"/>
      <c r="AN88" s="140"/>
      <c r="AO88" s="140"/>
      <c r="AP88" s="140"/>
      <c r="AQ88" s="140"/>
      <c r="AR88" s="140"/>
      <c r="AS88" s="140"/>
      <c r="AT88" s="140"/>
      <c r="AU88" s="140"/>
      <c r="AV88" s="140"/>
      <c r="AW88" s="140"/>
      <c r="AX88" s="140"/>
      <c r="AY88" s="140"/>
      <c r="AZ88" s="140"/>
      <c r="BA88" s="140"/>
      <c r="BB88" s="140"/>
      <c r="BC88" s="140"/>
      <c r="BD88" s="140"/>
      <c r="BE88" s="140"/>
      <c r="BF88" s="140"/>
      <c r="BG88" s="140"/>
      <c r="BH88" s="140"/>
    </row>
    <row r="89" ht="31" customHeight="1" spans="1:60">
      <c r="A89" s="36"/>
      <c r="B89" s="153"/>
      <c r="C89" s="152"/>
      <c r="D89" s="153"/>
      <c r="E89" s="151"/>
      <c r="F89" s="152"/>
      <c r="G89" s="144"/>
      <c r="H89" s="154"/>
      <c r="I89" s="157"/>
      <c r="J89" s="157"/>
      <c r="K89" s="158"/>
      <c r="L89" s="167" t="str">
        <f>IF(B89&lt;&gt;"",1,"")</f>
        <v/>
      </c>
      <c r="M89" s="167" t="str">
        <f>IF(B89&lt;&gt;"",SUM(P89:T89)*L89,"")</f>
        <v/>
      </c>
      <c r="N89" s="168"/>
      <c r="O89" s="168"/>
      <c r="P89" s="32">
        <f>IF(G89="国家级",10,0)</f>
        <v>0</v>
      </c>
      <c r="Q89" s="32">
        <f>IF(G89="省级",6,0)</f>
        <v>0</v>
      </c>
      <c r="R89" s="32">
        <f>IF(G89="市级",3,0)</f>
        <v>0</v>
      </c>
      <c r="S89" s="32">
        <f>IF(G89="校级",1,0)</f>
        <v>0</v>
      </c>
      <c r="T89" s="32">
        <f>IF(G89="其他院校",3,0)</f>
        <v>0</v>
      </c>
      <c r="U89" s="117">
        <f>IF(OR(G89="国家级",G89="省级"),1,0)</f>
        <v>0</v>
      </c>
      <c r="V89" s="117">
        <f>IF(G89="市级",1,0)</f>
        <v>0</v>
      </c>
      <c r="W89" s="117">
        <f>IF(G89="校级",1,0)</f>
        <v>0</v>
      </c>
      <c r="X89" s="194" t="str">
        <f>IF(OR(SUM(U89:U93)&gt;=1,SUM(U89:V93)&gt;=2,SUM(U89:W93)&gt;=3),"满足","不满足")</f>
        <v>不满足</v>
      </c>
      <c r="Y89" s="181"/>
      <c r="Z89" s="181"/>
      <c r="AA89" s="168"/>
      <c r="AB89" s="168">
        <f>IF(B89="团队建设",IF(H89="独立完成",1,IF(K89=1,0.6,IF(AND(J89=2,K89=2),0.4,IF(AND(J89&gt;2,K89=2),0.3,IF(AND(J89&gt;2,K89=3),0.2,IF(AND(J89&gt;2,K89&gt;3),0.1)))))),0)</f>
        <v>0</v>
      </c>
      <c r="AC89" s="168">
        <f>IF(NOT(B89="团队建设"),IF(H89="独立完成",1,IF(K89=1,0.5,IF(AND(J89=2,K89=2),0.5,IF(AND(J89&gt;2,K89=2),0.3,IF(AND(J89&gt;2,K89=3),0.2,IF(AND(J89&gt;2,K89&gt;3),0.1,0)))))),0)</f>
        <v>0</v>
      </c>
      <c r="AD89" s="168"/>
      <c r="AE89" s="168"/>
      <c r="AK89" s="140"/>
      <c r="AL89" s="140"/>
      <c r="AM89" s="140"/>
      <c r="AN89" s="140"/>
      <c r="AO89" s="140"/>
      <c r="AP89" s="140"/>
      <c r="AQ89" s="140"/>
      <c r="AR89" s="140"/>
      <c r="AS89" s="140"/>
      <c r="AT89" s="140"/>
      <c r="AU89" s="140"/>
      <c r="AV89" s="140"/>
      <c r="AW89" s="140"/>
      <c r="AX89" s="140"/>
      <c r="AY89" s="140"/>
      <c r="AZ89" s="140"/>
      <c r="BA89" s="140"/>
      <c r="BB89" s="140"/>
      <c r="BC89" s="140"/>
      <c r="BD89" s="140"/>
      <c r="BE89" s="140"/>
      <c r="BF89" s="140"/>
      <c r="BG89" s="140"/>
      <c r="BH89" s="140"/>
    </row>
    <row r="90" ht="31" customHeight="1" spans="1:60">
      <c r="A90" s="36"/>
      <c r="B90" s="153"/>
      <c r="C90" s="152"/>
      <c r="D90" s="153"/>
      <c r="E90" s="151"/>
      <c r="F90" s="152"/>
      <c r="G90" s="144"/>
      <c r="H90" s="154"/>
      <c r="I90" s="157"/>
      <c r="J90" s="157"/>
      <c r="K90" s="158"/>
      <c r="L90" s="167" t="str">
        <f>IF(B90&lt;&gt;"",1,"")</f>
        <v/>
      </c>
      <c r="M90" s="167" t="str">
        <f>IF(B90&lt;&gt;"",SUM(P90:T90)*L90,"")</f>
        <v/>
      </c>
      <c r="N90" s="168"/>
      <c r="O90" s="168"/>
      <c r="P90" s="32">
        <f>IF(G90="国家级",10,0)</f>
        <v>0</v>
      </c>
      <c r="Q90" s="32">
        <f>IF(G90="省级",6,0)</f>
        <v>0</v>
      </c>
      <c r="R90" s="32">
        <f>IF(G90="市级",3,0)</f>
        <v>0</v>
      </c>
      <c r="S90" s="32">
        <f>IF(G90="校级",1,0)</f>
        <v>0</v>
      </c>
      <c r="T90" s="32">
        <f>IF(G90="其他院校",3,0)</f>
        <v>0</v>
      </c>
      <c r="U90" s="117">
        <f>IF(OR(G90="国家级",G90="省级"),1,0)</f>
        <v>0</v>
      </c>
      <c r="V90" s="117">
        <f>IF(G90="市级",1,0)</f>
        <v>0</v>
      </c>
      <c r="W90" s="117">
        <f>IF(G90="校级",1,0)</f>
        <v>0</v>
      </c>
      <c r="X90" s="181"/>
      <c r="Y90" s="181"/>
      <c r="Z90" s="181"/>
      <c r="AA90" s="168"/>
      <c r="AB90" s="168"/>
      <c r="AC90" s="168"/>
      <c r="AD90" s="168"/>
      <c r="AE90" s="168"/>
      <c r="AK90" s="140"/>
      <c r="AL90" s="140"/>
      <c r="AM90" s="140"/>
      <c r="AN90" s="140"/>
      <c r="AO90" s="140"/>
      <c r="AP90" s="140"/>
      <c r="AQ90" s="140"/>
      <c r="AR90" s="140"/>
      <c r="AS90" s="140"/>
      <c r="AT90" s="140"/>
      <c r="AU90" s="140"/>
      <c r="AV90" s="140"/>
      <c r="AW90" s="140"/>
      <c r="AX90" s="140"/>
      <c r="AY90" s="140"/>
      <c r="AZ90" s="140"/>
      <c r="BA90" s="140"/>
      <c r="BB90" s="140"/>
      <c r="BC90" s="140"/>
      <c r="BD90" s="140"/>
      <c r="BE90" s="140"/>
      <c r="BF90" s="140"/>
      <c r="BG90" s="140"/>
      <c r="BH90" s="140"/>
    </row>
    <row r="91" ht="31" customHeight="1" spans="1:60">
      <c r="A91" s="36"/>
      <c r="B91" s="153"/>
      <c r="C91" s="152"/>
      <c r="D91" s="153"/>
      <c r="E91" s="151"/>
      <c r="F91" s="152"/>
      <c r="G91" s="144"/>
      <c r="H91" s="154"/>
      <c r="I91" s="157"/>
      <c r="J91" s="157"/>
      <c r="K91" s="158"/>
      <c r="L91" s="167" t="str">
        <f>IF(B91&lt;&gt;"",1,"")</f>
        <v/>
      </c>
      <c r="M91" s="167" t="str">
        <f>IF(B91&lt;&gt;"",SUM(P91:T91)*L91,"")</f>
        <v/>
      </c>
      <c r="N91" s="168"/>
      <c r="O91" s="168"/>
      <c r="P91" s="32">
        <f>IF(G91="国家级",10,0)</f>
        <v>0</v>
      </c>
      <c r="Q91" s="32">
        <f>IF(G91="省级",6,0)</f>
        <v>0</v>
      </c>
      <c r="R91" s="32">
        <f>IF(G91="市级",3,0)</f>
        <v>0</v>
      </c>
      <c r="S91" s="32">
        <f>IF(G91="校级",1,0)</f>
        <v>0</v>
      </c>
      <c r="T91" s="32">
        <f>IF(G91="其他院校",3,0)</f>
        <v>0</v>
      </c>
      <c r="U91" s="117">
        <f>IF(OR(G91="国家级",G91="省级"),1,0)</f>
        <v>0</v>
      </c>
      <c r="V91" s="117">
        <f>IF(G91="市级",1,0)</f>
        <v>0</v>
      </c>
      <c r="W91" s="117">
        <f>IF(G91="校级",1,0)</f>
        <v>0</v>
      </c>
      <c r="X91" s="181"/>
      <c r="Y91" s="181"/>
      <c r="Z91" s="181"/>
      <c r="AA91" s="168"/>
      <c r="AB91" s="168"/>
      <c r="AC91" s="168"/>
      <c r="AD91" s="168"/>
      <c r="AE91" s="168"/>
      <c r="AK91" s="140"/>
      <c r="AL91" s="140"/>
      <c r="AM91" s="140"/>
      <c r="AN91" s="140"/>
      <c r="AO91" s="140"/>
      <c r="AP91" s="140"/>
      <c r="AQ91" s="140"/>
      <c r="AR91" s="140"/>
      <c r="AS91" s="140"/>
      <c r="AT91" s="140"/>
      <c r="AU91" s="140"/>
      <c r="AV91" s="140"/>
      <c r="AW91" s="140"/>
      <c r="AX91" s="140"/>
      <c r="AY91" s="140"/>
      <c r="AZ91" s="140"/>
      <c r="BA91" s="140"/>
      <c r="BB91" s="140"/>
      <c r="BC91" s="140"/>
      <c r="BD91" s="140"/>
      <c r="BE91" s="140"/>
      <c r="BF91" s="140"/>
      <c r="BG91" s="140"/>
      <c r="BH91" s="140"/>
    </row>
    <row r="92" ht="31" customHeight="1" spans="1:60">
      <c r="A92" s="36"/>
      <c r="B92" s="153"/>
      <c r="C92" s="152"/>
      <c r="D92" s="153"/>
      <c r="E92" s="151"/>
      <c r="F92" s="152"/>
      <c r="G92" s="144"/>
      <c r="H92" s="154"/>
      <c r="I92" s="157"/>
      <c r="J92" s="157"/>
      <c r="K92" s="158"/>
      <c r="L92" s="167" t="str">
        <f>IF(B92&lt;&gt;"",1,"")</f>
        <v/>
      </c>
      <c r="M92" s="167" t="str">
        <f>IF(B92&lt;&gt;"",SUM(P92:T92)*L92,"")</f>
        <v/>
      </c>
      <c r="N92" s="168"/>
      <c r="O92" s="168"/>
      <c r="P92" s="32">
        <f>IF(G92="国家级",10,0)</f>
        <v>0</v>
      </c>
      <c r="Q92" s="32">
        <f>IF(G92="省级",6,0)</f>
        <v>0</v>
      </c>
      <c r="R92" s="32">
        <f>IF(G92="市级",3,0)</f>
        <v>0</v>
      </c>
      <c r="S92" s="32">
        <f>IF(G92="校级",1,0)</f>
        <v>0</v>
      </c>
      <c r="T92" s="32">
        <f>IF(G92="其他院校",3,0)</f>
        <v>0</v>
      </c>
      <c r="U92" s="117">
        <f>IF(OR(G92="国家级",G92="省级"),1,0)</f>
        <v>0</v>
      </c>
      <c r="V92" s="117">
        <f>IF(G92="市级",1,0)</f>
        <v>0</v>
      </c>
      <c r="W92" s="117">
        <f>IF(G92="校级",1,0)</f>
        <v>0</v>
      </c>
      <c r="X92" s="181"/>
      <c r="Y92" s="181"/>
      <c r="Z92" s="181"/>
      <c r="AA92" s="168"/>
      <c r="AB92" s="168"/>
      <c r="AC92" s="168"/>
      <c r="AD92" s="168"/>
      <c r="AE92" s="168"/>
      <c r="AK92" s="140"/>
      <c r="AL92" s="140"/>
      <c r="AM92" s="140"/>
      <c r="AN92" s="140"/>
      <c r="AO92" s="140"/>
      <c r="AP92" s="140"/>
      <c r="AQ92" s="140"/>
      <c r="AR92" s="140"/>
      <c r="AS92" s="140"/>
      <c r="AT92" s="140"/>
      <c r="AU92" s="140"/>
      <c r="AV92" s="140"/>
      <c r="AW92" s="140"/>
      <c r="AX92" s="140"/>
      <c r="AY92" s="140"/>
      <c r="AZ92" s="140"/>
      <c r="BA92" s="140"/>
      <c r="BB92" s="140"/>
      <c r="BC92" s="140"/>
      <c r="BD92" s="140"/>
      <c r="BE92" s="140"/>
      <c r="BF92" s="140"/>
      <c r="BG92" s="140"/>
      <c r="BH92" s="140"/>
    </row>
    <row r="93" ht="31" customHeight="1" spans="1:60">
      <c r="A93" s="36"/>
      <c r="B93" s="153"/>
      <c r="C93" s="152"/>
      <c r="D93" s="153"/>
      <c r="E93" s="151"/>
      <c r="F93" s="152"/>
      <c r="G93" s="144"/>
      <c r="H93" s="154"/>
      <c r="I93" s="157"/>
      <c r="J93" s="157"/>
      <c r="K93" s="158"/>
      <c r="L93" s="167" t="str">
        <f>IF(B93&lt;&gt;"",1,"")</f>
        <v/>
      </c>
      <c r="M93" s="167" t="str">
        <f>IF(B93&lt;&gt;"",SUM(P93:T93)*L93,"")</f>
        <v/>
      </c>
      <c r="N93" s="168"/>
      <c r="O93" s="168"/>
      <c r="P93" s="32">
        <f>IF(G93="国家级",10,0)</f>
        <v>0</v>
      </c>
      <c r="Q93" s="32">
        <f>IF(G93="省级",6,0)</f>
        <v>0</v>
      </c>
      <c r="R93" s="32">
        <f>IF(G93="市级",3,0)</f>
        <v>0</v>
      </c>
      <c r="S93" s="32">
        <f>IF(G93="校级",1,0)</f>
        <v>0</v>
      </c>
      <c r="T93" s="32">
        <f>IF(G93="其他院校",3,0)</f>
        <v>0</v>
      </c>
      <c r="U93" s="117">
        <f>IF(OR(G93="国家级",G93="省级"),1,0)</f>
        <v>0</v>
      </c>
      <c r="V93" s="117">
        <f>IF(G93="市级",1,0)</f>
        <v>0</v>
      </c>
      <c r="W93" s="117">
        <f>IF(G93="校级",1,0)</f>
        <v>0</v>
      </c>
      <c r="X93" s="181"/>
      <c r="Y93" s="181"/>
      <c r="Z93" s="181"/>
      <c r="AA93" s="168"/>
      <c r="AB93" s="168">
        <f>IF(B93="团队建设",IF(I93="独立完成",1,IF(K93=1,0.6,IF(AND(J93=2,K93=2),0.4,IF(AND(J93&gt;2,K93=2),0.3,IF(AND(J93&gt;2,K93=3),0.2,IF(AND(J93&gt;2,K93&gt;3),0.1)))))),0)</f>
        <v>0</v>
      </c>
      <c r="AC93" s="168">
        <f>IF(NOT(B93="团队建设"),IF(I93="独立完成",1,IF(K93=1,0.5,IF(AND(J93=2,K93=2),0.5,IF(AND(J93&gt;2,K93=2),0.3,IF(AND(J93&gt;2,K93=3),0.2,IF(AND(J93&gt;2,K93&gt;3),0.1,0)))))),0)</f>
        <v>0</v>
      </c>
      <c r="AD93" s="168"/>
      <c r="AE93" s="168"/>
      <c r="AK93" s="140"/>
      <c r="AL93" s="140"/>
      <c r="AM93" s="140"/>
      <c r="AN93" s="140"/>
      <c r="AO93" s="140"/>
      <c r="AP93" s="140"/>
      <c r="AQ93" s="140"/>
      <c r="AR93" s="140"/>
      <c r="AS93" s="140"/>
      <c r="AT93" s="140"/>
      <c r="AU93" s="140"/>
      <c r="AV93" s="140"/>
      <c r="AW93" s="140"/>
      <c r="AX93" s="140"/>
      <c r="AY93" s="140"/>
      <c r="AZ93" s="140"/>
      <c r="BA93" s="140"/>
      <c r="BB93" s="140"/>
      <c r="BC93" s="140"/>
      <c r="BD93" s="140"/>
      <c r="BE93" s="140"/>
      <c r="BF93" s="140"/>
      <c r="BG93" s="140"/>
      <c r="BH93" s="140"/>
    </row>
    <row r="94" ht="31" customHeight="1" spans="1:60">
      <c r="A94" s="36"/>
      <c r="B94" s="146"/>
      <c r="C94" s="147"/>
      <c r="D94" s="147"/>
      <c r="E94" s="147"/>
      <c r="F94" s="147"/>
      <c r="G94" s="147"/>
      <c r="H94" s="147"/>
      <c r="I94" s="147"/>
      <c r="J94" s="147"/>
      <c r="K94" s="147"/>
      <c r="L94" s="169"/>
      <c r="M94" s="167">
        <f>IF(M89&lt;&gt;"",SUM(M89:M93),0)</f>
        <v>0</v>
      </c>
      <c r="N94" s="170"/>
      <c r="O94" s="170"/>
      <c r="Q94" s="32"/>
      <c r="AB94" s="168"/>
      <c r="AK94" s="140"/>
      <c r="AL94" s="140"/>
      <c r="AM94" s="140"/>
      <c r="AN94" s="140"/>
      <c r="AO94" s="140"/>
      <c r="AP94" s="140"/>
      <c r="AQ94" s="140"/>
      <c r="AR94" s="140"/>
      <c r="AS94" s="140"/>
      <c r="AT94" s="140"/>
      <c r="AU94" s="140"/>
      <c r="AV94" s="140"/>
      <c r="AW94" s="140"/>
      <c r="AX94" s="140"/>
      <c r="AY94" s="140"/>
      <c r="AZ94" s="140"/>
      <c r="BA94" s="140"/>
      <c r="BB94" s="140"/>
      <c r="BC94" s="140"/>
      <c r="BD94" s="140"/>
      <c r="BE94" s="140"/>
      <c r="BF94" s="140"/>
      <c r="BG94" s="140"/>
      <c r="BH94" s="140"/>
    </row>
    <row r="95" ht="31" customHeight="1" spans="1:60">
      <c r="A95" s="36"/>
      <c r="B95" s="148" t="s">
        <v>135</v>
      </c>
      <c r="C95" s="148"/>
      <c r="D95" s="148"/>
      <c r="E95" s="148"/>
      <c r="F95" s="148"/>
      <c r="G95" s="148"/>
      <c r="H95" s="148"/>
      <c r="I95" s="148"/>
      <c r="J95" s="148"/>
      <c r="K95" s="148"/>
      <c r="L95" s="148"/>
      <c r="M95" s="148"/>
      <c r="N95" s="148"/>
      <c r="O95" s="148"/>
      <c r="AK95" s="140"/>
      <c r="AL95" s="140"/>
      <c r="AM95" s="140"/>
      <c r="AN95" s="140"/>
      <c r="AO95" s="140"/>
      <c r="AP95" s="140"/>
      <c r="AQ95" s="140"/>
      <c r="AR95" s="140"/>
      <c r="AS95" s="140"/>
      <c r="AT95" s="140"/>
      <c r="AU95" s="140"/>
      <c r="AV95" s="140"/>
      <c r="AW95" s="140"/>
      <c r="AX95" s="140"/>
      <c r="AY95" s="140"/>
      <c r="AZ95" s="140"/>
      <c r="BA95" s="140"/>
      <c r="BB95" s="140"/>
      <c r="BC95" s="140"/>
      <c r="BD95" s="140"/>
      <c r="BE95" s="140"/>
      <c r="BF95" s="140"/>
      <c r="BG95" s="140"/>
      <c r="BH95" s="140"/>
    </row>
    <row r="96" ht="31" customHeight="1" spans="1:60">
      <c r="A96" s="36"/>
      <c r="B96" s="97" t="s">
        <v>58</v>
      </c>
      <c r="C96" s="113"/>
      <c r="D96" s="67" t="s">
        <v>136</v>
      </c>
      <c r="E96" s="129"/>
      <c r="F96" s="97" t="s">
        <v>137</v>
      </c>
      <c r="G96" s="113"/>
      <c r="H96" s="96"/>
      <c r="I96" s="62" t="s">
        <v>81</v>
      </c>
      <c r="J96" s="62" t="s">
        <v>82</v>
      </c>
      <c r="K96" s="62" t="s">
        <v>92</v>
      </c>
      <c r="L96" s="171" t="s">
        <v>84</v>
      </c>
      <c r="M96" s="62" t="s">
        <v>85</v>
      </c>
      <c r="N96" s="62" t="s">
        <v>43</v>
      </c>
      <c r="O96" s="62" t="s">
        <v>44</v>
      </c>
      <c r="P96" s="130" t="s">
        <v>138</v>
      </c>
      <c r="Q96" s="130" t="s">
        <v>139</v>
      </c>
      <c r="R96" s="130" t="s">
        <v>140</v>
      </c>
      <c r="S96" s="130" t="s">
        <v>141</v>
      </c>
      <c r="T96" s="190" t="s">
        <v>142</v>
      </c>
      <c r="U96" s="190" t="s">
        <v>119</v>
      </c>
      <c r="V96" s="190" t="s">
        <v>143</v>
      </c>
      <c r="W96" s="130"/>
      <c r="X96" s="32"/>
      <c r="AK96" s="140"/>
      <c r="AL96" s="140"/>
      <c r="AM96" s="140"/>
      <c r="AN96" s="140"/>
      <c r="AO96" s="140"/>
      <c r="AP96" s="140"/>
      <c r="AQ96" s="140"/>
      <c r="AR96" s="140"/>
      <c r="AS96" s="140"/>
      <c r="AT96" s="140"/>
      <c r="AU96" s="140"/>
      <c r="AV96" s="140"/>
      <c r="AW96" s="140"/>
      <c r="AX96" s="140"/>
      <c r="AY96" s="140"/>
      <c r="AZ96" s="140"/>
      <c r="BA96" s="140"/>
      <c r="BB96" s="140"/>
      <c r="BC96" s="140"/>
      <c r="BD96" s="140"/>
      <c r="BE96" s="140"/>
      <c r="BF96" s="140"/>
      <c r="BG96" s="140"/>
      <c r="BH96" s="140"/>
    </row>
    <row r="97" ht="31" customHeight="1" spans="1:60">
      <c r="A97" s="36"/>
      <c r="B97" s="144"/>
      <c r="C97" s="144"/>
      <c r="D97" s="151"/>
      <c r="E97" s="152"/>
      <c r="F97" s="153"/>
      <c r="G97" s="151"/>
      <c r="H97" s="152"/>
      <c r="I97" s="145"/>
      <c r="J97" s="172"/>
      <c r="K97" s="173"/>
      <c r="L97" s="174" t="str">
        <f>IF(B97&lt;&gt;"",SUM(P97:Q97),"")</f>
        <v/>
      </c>
      <c r="M97" s="174" t="str">
        <f>IF(B97&lt;&gt;"",SUM(R97:S97)*L97,"")</f>
        <v/>
      </c>
      <c r="N97" s="32"/>
      <c r="O97" s="32"/>
      <c r="P97" s="32">
        <f>IF(B97="学生工作相关孵化基地",IF(I97="独立完成",1,IF(K97=1,0.6,IF(AND(J97=2,K97=2),0.4,IF(AND(J97&gt;2,K97=2),0.3,IF(AND(J97&gt;2,K97=3),0.2,IF(AND(J97&gt;2,K97&gt;3),0.1,0)))))),0)</f>
        <v>0</v>
      </c>
      <c r="Q97" s="32">
        <f>IF(B97="辅导员名师工作室",IF(OR(I97="独立完成",K97=1),1,0),0)</f>
        <v>0</v>
      </c>
      <c r="R97" s="32">
        <f>IF(AND(B97="辅导员名师工作室",D97="国家级"),35,IF(AND(B97="辅导员名师工作室",D97="省级"),15,IF(AND(B97="辅导员名师工作室",D97="市级"),10,IF(AND(B97="辅导员名师工作室",D97="校级"),5,0))))</f>
        <v>0</v>
      </c>
      <c r="S97" s="32">
        <f>IF(AND(B97="学生工作相关孵化基地",D97="国家级"),40,IF(AND(B97="学生工作相关孵化基地",D97="省级"),15,IF(AND(B97="学生工作相关孵化基地",D97="市级"),10,IF(AND(B97="学生工作相关孵化基地",D97="校级"),3,0))))</f>
        <v>0</v>
      </c>
      <c r="T97" s="117">
        <f>IF(AND(OR(D97="国家级",D97="省级",D97="市级"),OR(I97="独立完成",AND(K97&lt;&gt;"",K97=1))),1,0)</f>
        <v>0</v>
      </c>
      <c r="U97" s="117" t="str">
        <f>IF((SUM(T97:T99)+SUM(V97:V99))&gt;0,"满足","不满足")</f>
        <v>不满足</v>
      </c>
      <c r="V97" s="117">
        <f>IF(AND(OR(D97="国家级",D97="省级",D97="市级"),AND(I97="合作完成",AND(K97&lt;&gt;"",K97&lt;&gt;1,K97&lt;4))),1,0)</f>
        <v>0</v>
      </c>
      <c r="W97" s="32"/>
      <c r="X97" s="32"/>
      <c r="AK97" s="140"/>
      <c r="AL97" s="140"/>
      <c r="AM97" s="140"/>
      <c r="AN97" s="140"/>
      <c r="AO97" s="140"/>
      <c r="AP97" s="140"/>
      <c r="AQ97" s="140"/>
      <c r="AR97" s="140"/>
      <c r="AS97" s="140"/>
      <c r="AT97" s="140"/>
      <c r="AU97" s="140"/>
      <c r="AV97" s="140"/>
      <c r="AW97" s="140"/>
      <c r="AX97" s="140"/>
      <c r="AY97" s="140"/>
      <c r="AZ97" s="140"/>
      <c r="BA97" s="140"/>
      <c r="BB97" s="140"/>
      <c r="BC97" s="140"/>
      <c r="BD97" s="140"/>
      <c r="BE97" s="140"/>
      <c r="BF97" s="140"/>
      <c r="BG97" s="140"/>
      <c r="BH97" s="140"/>
    </row>
    <row r="98" ht="31" customHeight="1" spans="1:60">
      <c r="A98" s="36"/>
      <c r="B98" s="144"/>
      <c r="C98" s="144"/>
      <c r="D98" s="151"/>
      <c r="E98" s="152"/>
      <c r="F98" s="153"/>
      <c r="G98" s="151"/>
      <c r="H98" s="152"/>
      <c r="I98" s="145"/>
      <c r="J98" s="172"/>
      <c r="K98" s="173"/>
      <c r="L98" s="174" t="str">
        <f>IF(B98&lt;&gt;"",SUM(P98:Q98),"")</f>
        <v/>
      </c>
      <c r="M98" s="174" t="str">
        <f>IF(B98&lt;&gt;"",SUM(R98:S98)*L98,"")</f>
        <v/>
      </c>
      <c r="N98" s="32"/>
      <c r="O98" s="32"/>
      <c r="P98" s="32">
        <f>IF(B98="学生工作相关孵化基地",IF(I98="独立完成",1,IF(K98=1,0.6,IF(AND(J98=2,K98=2),0.4,IF(AND(J98&gt;2,K98=2),0.3,IF(AND(J98&gt;2,K98=3),0.2,IF(AND(J98&gt;2,K98&gt;3),0.1,0)))))),0)</f>
        <v>0</v>
      </c>
      <c r="Q98" s="32">
        <f>IF(B98="辅导员名师工作室",IF(OR(I98="独立完成",K98=1),1,0),0)</f>
        <v>0</v>
      </c>
      <c r="R98" s="32">
        <f>IF(AND(B98="辅导员名师工作室",D98="国家级"),35,IF(AND(B98="辅导员名师工作室",D98="省级"),15,IF(AND(B98="辅导员名师工作室",D98="市级"),10,IF(AND(B98="辅导员名师工作室",D98="校级"),5,0))))</f>
        <v>0</v>
      </c>
      <c r="S98" s="32">
        <f>IF(AND(B98="学生工作相关孵化基地",D98="国家级"),40,IF(AND(B98="学生工作相关孵化基地",D98="省级"),15,IF(AND(B98="学生工作相关孵化基地",D98="市级"),10,IF(AND(B98="学生工作相关孵化基地",D98="校级"),3,0))))</f>
        <v>0</v>
      </c>
      <c r="T98" s="117">
        <f>IF(AND(OR(D98="国家级",D98="省级",D98="市级"),OR(I98="独立完成",AND(K98&lt;&gt;"",K98=1))),1,0)</f>
        <v>0</v>
      </c>
      <c r="U98" s="32"/>
      <c r="V98" s="117">
        <f>IF(AND(OR(D98="国家级",D98="省级",D98="市级"),AND(I98="合作完成",AND(K98&lt;&gt;"",K98&lt;&gt;1,K98&lt;4))),1,0)</f>
        <v>0</v>
      </c>
      <c r="W98" s="32"/>
      <c r="X98" s="32"/>
      <c r="AK98" s="140"/>
      <c r="AL98" s="140"/>
      <c r="AM98" s="140"/>
      <c r="AN98" s="140"/>
      <c r="AO98" s="140"/>
      <c r="AP98" s="140"/>
      <c r="AQ98" s="140"/>
      <c r="AR98" s="140"/>
      <c r="AS98" s="140"/>
      <c r="AT98" s="140"/>
      <c r="AU98" s="140"/>
      <c r="AV98" s="140"/>
      <c r="AW98" s="140"/>
      <c r="AX98" s="140"/>
      <c r="AY98" s="140"/>
      <c r="AZ98" s="140"/>
      <c r="BA98" s="140"/>
      <c r="BB98" s="140"/>
      <c r="BC98" s="140"/>
      <c r="BD98" s="140"/>
      <c r="BE98" s="140"/>
      <c r="BF98" s="140"/>
      <c r="BG98" s="140"/>
      <c r="BH98" s="140"/>
    </row>
    <row r="99" ht="31" customHeight="1" spans="1:60">
      <c r="A99" s="36"/>
      <c r="B99" s="144"/>
      <c r="C99" s="144"/>
      <c r="D99" s="151"/>
      <c r="E99" s="152"/>
      <c r="F99" s="153"/>
      <c r="G99" s="151"/>
      <c r="H99" s="152"/>
      <c r="I99" s="145"/>
      <c r="J99" s="172"/>
      <c r="K99" s="173"/>
      <c r="L99" s="174" t="str">
        <f>IF(B99&lt;&gt;"",SUM(P99:Q99),"")</f>
        <v/>
      </c>
      <c r="M99" s="174" t="str">
        <f>IF(B99&lt;&gt;"",SUM(R99:S99)*L99,"")</f>
        <v/>
      </c>
      <c r="N99" s="32"/>
      <c r="O99" s="32"/>
      <c r="P99" s="32">
        <f>IF(B99="学生工作相关孵化基地",IF(I99="独立完成",1,IF(K99=1,0.6,IF(AND(J99=2,K99=2),0.4,IF(AND(J99&gt;2,K99=2),0.3,IF(AND(J99&gt;2,K99=3),0.2,IF(AND(J99&gt;2,K99&gt;3),0.1,0)))))),0)</f>
        <v>0</v>
      </c>
      <c r="Q99" s="32">
        <f>IF(B99="辅导员名师工作室",IF(OR(I99="独立完成",K99=1),1,0),0)</f>
        <v>0</v>
      </c>
      <c r="R99" s="32">
        <f>IF(AND(B99="辅导员名师工作室",D99="国家级"),35,IF(AND(B99="辅导员名师工作室",D99="省级"),15,IF(AND(B99="辅导员名师工作室",D99="市级"),10,IF(AND(B99="辅导员名师工作室",D99="校级"),5,0))))</f>
        <v>0</v>
      </c>
      <c r="S99" s="32">
        <f>IF(AND(B99="学生工作相关孵化基地",D99="国家级"),40,IF(AND(B99="学生工作相关孵化基地",D99="省级"),15,IF(AND(B99="学生工作相关孵化基地",D99="市级"),10,IF(AND(B99="学生工作相关孵化基地",D99="校级"),3,0))))</f>
        <v>0</v>
      </c>
      <c r="T99" s="117">
        <f>IF(AND(OR(D99="国家级",D99="省级",D99="市级"),OR(I99="独立完成",AND(K99&lt;&gt;"",K99=1))),1,0)</f>
        <v>0</v>
      </c>
      <c r="U99" s="32"/>
      <c r="V99" s="117">
        <f>IF(AND(OR(D99="国家级",D99="省级",D99="市级"),AND(I99="合作完成",AND(K99&lt;&gt;"",K99&lt;&gt;1,K99&lt;4))),1,0)</f>
        <v>0</v>
      </c>
      <c r="W99" s="32"/>
      <c r="X99" s="32"/>
      <c r="AK99" s="140"/>
      <c r="AL99" s="140"/>
      <c r="AM99" s="140"/>
      <c r="AN99" s="140"/>
      <c r="AO99" s="140"/>
      <c r="AP99" s="140"/>
      <c r="AQ99" s="140"/>
      <c r="AR99" s="140"/>
      <c r="AS99" s="140"/>
      <c r="AT99" s="140"/>
      <c r="AU99" s="140"/>
      <c r="AV99" s="140"/>
      <c r="AW99" s="140"/>
      <c r="AX99" s="140"/>
      <c r="AY99" s="140"/>
      <c r="AZ99" s="140"/>
      <c r="BA99" s="140"/>
      <c r="BB99" s="140"/>
      <c r="BC99" s="140"/>
      <c r="BD99" s="140"/>
      <c r="BE99" s="140"/>
      <c r="BF99" s="140"/>
      <c r="BG99" s="140"/>
      <c r="BH99" s="140"/>
    </row>
    <row r="100" ht="31" customHeight="1" spans="1:60">
      <c r="A100" s="36"/>
      <c r="B100" s="146" t="s">
        <v>89</v>
      </c>
      <c r="C100" s="147"/>
      <c r="D100" s="147"/>
      <c r="E100" s="147"/>
      <c r="F100" s="147"/>
      <c r="G100" s="147"/>
      <c r="H100" s="147"/>
      <c r="I100" s="147"/>
      <c r="J100" s="147"/>
      <c r="K100" s="147"/>
      <c r="L100" s="169"/>
      <c r="M100" s="174">
        <f>IF(M97&lt;&gt;"",SUM(M97:M99),0)</f>
        <v>0</v>
      </c>
      <c r="N100" s="171"/>
      <c r="O100" s="171"/>
      <c r="AK100" s="140"/>
      <c r="AL100" s="140"/>
      <c r="AM100" s="140"/>
      <c r="AN100" s="140"/>
      <c r="AO100" s="140"/>
      <c r="AP100" s="140"/>
      <c r="AQ100" s="140"/>
      <c r="AR100" s="140"/>
      <c r="AS100" s="140"/>
      <c r="AT100" s="140"/>
      <c r="AU100" s="140"/>
      <c r="AV100" s="140"/>
      <c r="AW100" s="140"/>
      <c r="AX100" s="140"/>
      <c r="AY100" s="140"/>
      <c r="AZ100" s="140"/>
      <c r="BA100" s="140"/>
      <c r="BB100" s="140"/>
      <c r="BC100" s="140"/>
      <c r="BD100" s="140"/>
      <c r="BE100" s="140"/>
      <c r="BF100" s="140"/>
      <c r="BG100" s="140"/>
      <c r="BH100" s="140"/>
    </row>
    <row r="101" ht="31" customHeight="1" spans="1:60">
      <c r="A101" s="36"/>
      <c r="B101" s="78" t="s">
        <v>144</v>
      </c>
      <c r="C101" s="78"/>
      <c r="D101" s="78"/>
      <c r="E101" s="78"/>
      <c r="F101" s="78"/>
      <c r="G101" s="78"/>
      <c r="H101" s="78"/>
      <c r="I101" s="78"/>
      <c r="J101" s="78"/>
      <c r="K101" s="78"/>
      <c r="L101" s="78"/>
      <c r="M101" s="78"/>
      <c r="N101" s="78"/>
      <c r="O101" s="78"/>
      <c r="AK101" s="140"/>
      <c r="AL101" s="140"/>
      <c r="AM101" s="140"/>
      <c r="AN101" s="140"/>
      <c r="AO101" s="140"/>
      <c r="AP101" s="140"/>
      <c r="AQ101" s="140"/>
      <c r="AR101" s="140"/>
      <c r="AS101" s="140"/>
      <c r="AT101" s="140"/>
      <c r="AU101" s="140"/>
      <c r="AV101" s="140"/>
      <c r="AW101" s="140"/>
      <c r="AX101" s="140"/>
      <c r="AY101" s="140"/>
      <c r="AZ101" s="140"/>
      <c r="BA101" s="140"/>
      <c r="BB101" s="140"/>
      <c r="BC101" s="140"/>
      <c r="BD101" s="140"/>
      <c r="BE101" s="140"/>
      <c r="BF101" s="140"/>
      <c r="BG101" s="140"/>
      <c r="BH101" s="140"/>
    </row>
    <row r="102" ht="31" customHeight="1" spans="1:60">
      <c r="A102" s="36"/>
      <c r="B102" s="148" t="s">
        <v>145</v>
      </c>
      <c r="C102" s="148"/>
      <c r="D102" s="148"/>
      <c r="E102" s="148"/>
      <c r="F102" s="148"/>
      <c r="G102" s="148"/>
      <c r="H102" s="148"/>
      <c r="I102" s="148"/>
      <c r="J102" s="148"/>
      <c r="K102" s="148"/>
      <c r="L102" s="148"/>
      <c r="M102" s="148"/>
      <c r="N102" s="148"/>
      <c r="O102" s="148"/>
      <c r="AK102" s="140"/>
      <c r="AL102" s="140"/>
      <c r="AM102" s="140"/>
      <c r="AN102" s="140"/>
      <c r="AO102" s="140"/>
      <c r="AP102" s="140"/>
      <c r="AQ102" s="140"/>
      <c r="AR102" s="140"/>
      <c r="AS102" s="140"/>
      <c r="AT102" s="140"/>
      <c r="AU102" s="140"/>
      <c r="AV102" s="140"/>
      <c r="AW102" s="140"/>
      <c r="AX102" s="140"/>
      <c r="AY102" s="140"/>
      <c r="AZ102" s="140"/>
      <c r="BA102" s="140"/>
      <c r="BB102" s="140"/>
      <c r="BC102" s="140"/>
      <c r="BD102" s="140"/>
      <c r="BE102" s="140"/>
      <c r="BF102" s="140"/>
      <c r="BG102" s="140"/>
      <c r="BH102" s="140"/>
    </row>
    <row r="103" ht="31" customHeight="1" spans="1:60">
      <c r="A103" s="36"/>
      <c r="B103" s="155" t="s">
        <v>146</v>
      </c>
      <c r="C103" s="62" t="s">
        <v>147</v>
      </c>
      <c r="D103" s="62"/>
      <c r="E103" s="62"/>
      <c r="F103" s="62" t="s">
        <v>148</v>
      </c>
      <c r="G103" s="62"/>
      <c r="H103" s="62" t="s">
        <v>149</v>
      </c>
      <c r="I103" s="62" t="s">
        <v>81</v>
      </c>
      <c r="J103" s="62" t="s">
        <v>82</v>
      </c>
      <c r="K103" s="62" t="s">
        <v>92</v>
      </c>
      <c r="L103" s="62" t="s">
        <v>84</v>
      </c>
      <c r="M103" s="62" t="s">
        <v>85</v>
      </c>
      <c r="N103" s="62" t="s">
        <v>43</v>
      </c>
      <c r="O103" s="62" t="s">
        <v>44</v>
      </c>
      <c r="P103" s="32" t="s">
        <v>150</v>
      </c>
      <c r="Q103" s="130" t="s">
        <v>151</v>
      </c>
      <c r="R103" s="130" t="s">
        <v>152</v>
      </c>
      <c r="S103" s="130" t="s">
        <v>153</v>
      </c>
      <c r="T103" s="130" t="s">
        <v>154</v>
      </c>
      <c r="U103" s="130" t="s">
        <v>155</v>
      </c>
      <c r="V103" s="130" t="s">
        <v>156</v>
      </c>
      <c r="W103" s="130" t="s">
        <v>157</v>
      </c>
      <c r="X103" s="130" t="s">
        <v>158</v>
      </c>
      <c r="Y103" s="179" t="s">
        <v>159</v>
      </c>
      <c r="Z103" s="196" t="s">
        <v>160</v>
      </c>
      <c r="AA103" s="197"/>
      <c r="AB103" s="115" t="s">
        <v>161</v>
      </c>
      <c r="AC103" s="196" t="s">
        <v>162</v>
      </c>
      <c r="AD103" s="197"/>
      <c r="AK103" s="140"/>
      <c r="AL103" s="140"/>
      <c r="AM103" s="140"/>
      <c r="AN103" s="140"/>
      <c r="AO103" s="140"/>
      <c r="AP103" s="140"/>
      <c r="AQ103" s="140"/>
      <c r="AR103" s="140"/>
      <c r="AS103" s="140"/>
      <c r="AT103" s="140"/>
      <c r="AU103" s="140"/>
      <c r="AV103" s="140"/>
      <c r="AW103" s="140"/>
      <c r="AX103" s="140"/>
      <c r="AY103" s="140"/>
      <c r="AZ103" s="140"/>
      <c r="BA103" s="140"/>
      <c r="BB103" s="140"/>
      <c r="BC103" s="140"/>
      <c r="BD103" s="140"/>
      <c r="BE103" s="140"/>
      <c r="BF103" s="140"/>
      <c r="BG103" s="140"/>
      <c r="BH103" s="140"/>
    </row>
    <row r="104" ht="31" customHeight="1" spans="1:60">
      <c r="A104" s="36"/>
      <c r="B104" s="144"/>
      <c r="C104" s="145"/>
      <c r="D104" s="156"/>
      <c r="E104" s="156"/>
      <c r="F104" s="145"/>
      <c r="G104" s="156"/>
      <c r="H104" s="145"/>
      <c r="I104" s="145"/>
      <c r="J104" s="175"/>
      <c r="K104" s="166"/>
      <c r="L104" s="174" t="str">
        <f>IF(B104&lt;&gt;"",IF(I104="独立完成",1,IF(I104="合作完成",P104))*(IF(H104="否",0.5,IF(H104="是",1,0))),"")</f>
        <v/>
      </c>
      <c r="M104" s="174" t="str">
        <f>IF(B104&lt;&gt;"",SUM(Q104:X104)*L104,"")</f>
        <v/>
      </c>
      <c r="N104" s="168"/>
      <c r="O104" s="168"/>
      <c r="P104" s="168">
        <f>IF(K104=1,0.8,IF(K104=2,0.2,IF(K104&gt;2,0.1,0)))</f>
        <v>0</v>
      </c>
      <c r="Q104" s="181">
        <f>IF(B104="JA三大检索",20,0)</f>
        <v>0</v>
      </c>
      <c r="R104" s="181">
        <f>IF(B104="中文核心期刊",15,0)</f>
        <v>0</v>
      </c>
      <c r="S104" s="181">
        <f>IF(B104="CA三大检索",8,0)</f>
        <v>0</v>
      </c>
      <c r="T104" s="181">
        <f>IF(B104="一般期刊、外文期刊",5,0)</f>
        <v>0</v>
      </c>
      <c r="U104" s="181">
        <f>IF(B104="国际学术会议论文集",5,0)</f>
        <v>0</v>
      </c>
      <c r="V104" s="181">
        <f>IF(B104="国家级重要报刊",15,0)</f>
        <v>0</v>
      </c>
      <c r="W104" s="181">
        <f>IF(B104="省级重要报刊理论版",12,0)</f>
        <v>0</v>
      </c>
      <c r="X104" s="181">
        <f>IF(B104="市级重要报刊",5,0)</f>
        <v>0</v>
      </c>
      <c r="Y104" s="179" t="str">
        <f>IF(B104&lt;&gt;"",(IF(OR(B104="一般期刊、外文期刊",B104="国际学术会议论文集",B104="市级重要报刊"),5,IF(OR(B104="中文核心期刊",B104="国家级重要报刊"),15,IF(B104="CA三大检索",8,IF(B104="JA三大检索",20,IF(B104="省级重要报刊理论版",12,0))))))*L104,"")</f>
        <v/>
      </c>
      <c r="Z104" s="196">
        <f>IF(AND(OR(B104="JA三大检索",B104="中文核心期刊"),OR(I104="独立完成",K104=1)),1,0)</f>
        <v>0</v>
      </c>
      <c r="AA104" s="197"/>
      <c r="AB104" s="117">
        <f>IF(OR(I104="独立完成",K104=1),1,0)</f>
        <v>0</v>
      </c>
      <c r="AC104" s="196">
        <f>IF(AND(OR(B104="国家级重要报刊",B104="省级重要报刊理论版"),OR(I104="独立完成",K104=1)),1,0)</f>
        <v>0</v>
      </c>
      <c r="AD104" s="197"/>
      <c r="AK104" s="140"/>
      <c r="AL104" s="140"/>
      <c r="AM104" s="140"/>
      <c r="AN104" s="140"/>
      <c r="AO104" s="140"/>
      <c r="AP104" s="140"/>
      <c r="AQ104" s="140"/>
      <c r="AR104" s="140"/>
      <c r="AS104" s="140"/>
      <c r="AT104" s="140"/>
      <c r="AU104" s="140"/>
      <c r="AV104" s="140"/>
      <c r="AW104" s="140"/>
      <c r="AX104" s="140"/>
      <c r="AY104" s="140"/>
      <c r="AZ104" s="140"/>
      <c r="BA104" s="140"/>
      <c r="BB104" s="140"/>
      <c r="BC104" s="140"/>
      <c r="BD104" s="140"/>
      <c r="BE104" s="140"/>
      <c r="BF104" s="140"/>
      <c r="BG104" s="140"/>
      <c r="BH104" s="140"/>
    </row>
    <row r="105" ht="31" customHeight="1" spans="1:60">
      <c r="A105" s="36"/>
      <c r="B105" s="144"/>
      <c r="C105" s="145"/>
      <c r="D105" s="156"/>
      <c r="E105" s="156"/>
      <c r="F105" s="145"/>
      <c r="G105" s="156"/>
      <c r="H105" s="145"/>
      <c r="I105" s="145"/>
      <c r="J105" s="175"/>
      <c r="K105" s="166"/>
      <c r="L105" s="174" t="str">
        <f>IF(B105&lt;&gt;"",IF(I105="独立完成",1,IF(I105="合作完成",P105))*(IF(H105="否",0.5,IF(H105="是",1,0))),"")</f>
        <v/>
      </c>
      <c r="M105" s="174" t="str">
        <f>IF(B105&lt;&gt;"",SUM(Q105:X105)*L105,"")</f>
        <v/>
      </c>
      <c r="N105" s="168"/>
      <c r="O105" s="168"/>
      <c r="P105" s="168">
        <f>IF(K105=1,0.8,IF(K105=2,0.2,IF(K105&gt;2,0.1,0)))</f>
        <v>0</v>
      </c>
      <c r="Q105" s="181">
        <f>IF(B105="JA三大检索",20,0)</f>
        <v>0</v>
      </c>
      <c r="R105" s="181">
        <f>IF(B105="中文核心期刊",15,0)</f>
        <v>0</v>
      </c>
      <c r="S105" s="181">
        <f>IF(B105="CA三大检索",8,0)</f>
        <v>0</v>
      </c>
      <c r="T105" s="181">
        <f>IF(B105="一般期刊、外文期刊",5,0)</f>
        <v>0</v>
      </c>
      <c r="U105" s="181">
        <f>IF(B105="国际学术会议论文集",5,0)</f>
        <v>0</v>
      </c>
      <c r="V105" s="181">
        <f>IF(B105="国家级重要报刊",15,0)</f>
        <v>0</v>
      </c>
      <c r="W105" s="181">
        <f>IF(B105="省级重要报刊理论版",12,0)</f>
        <v>0</v>
      </c>
      <c r="X105" s="181">
        <f>IF(B105="市级重要报刊",5,0)</f>
        <v>0</v>
      </c>
      <c r="Y105" s="179" t="str">
        <f>IF(B105&lt;&gt;"",(IF(OR(B105="一般期刊、外文期刊",B105="国际学术会议论文集",B105="市级重要报刊"),5,IF(OR(B105="中文核心期刊",B105="国家级重要报刊"),15,IF(B105="CA三大检索",8,IF(B105="JA三大检索",20,IF(B105="省级重要报刊理论版",12,0))))))*L105,"")</f>
        <v/>
      </c>
      <c r="Z105" s="196">
        <f>IF(AND(OR(B105="JA三大检索",B105="中文核心期刊"),OR(I105="独立完成",K105=1)),1,0)</f>
        <v>0</v>
      </c>
      <c r="AA105" s="197"/>
      <c r="AB105" s="117">
        <f>IF(OR(I105="独立完成",K105=1),1,0)</f>
        <v>0</v>
      </c>
      <c r="AC105" s="196">
        <f>IF(AND(OR(B105="国家级重要报刊",B105="省级重要报刊理论版"),OR(I105="独立完成",K105=1)),1,0)</f>
        <v>0</v>
      </c>
      <c r="AD105" s="197"/>
      <c r="AK105" s="140"/>
      <c r="AL105" s="140"/>
      <c r="AM105" s="140"/>
      <c r="AN105" s="140"/>
      <c r="AO105" s="140"/>
      <c r="AP105" s="140"/>
      <c r="AQ105" s="140"/>
      <c r="AR105" s="140"/>
      <c r="AS105" s="140"/>
      <c r="AT105" s="140"/>
      <c r="AU105" s="140"/>
      <c r="AV105" s="140"/>
      <c r="AW105" s="140"/>
      <c r="AX105" s="140"/>
      <c r="AY105" s="140"/>
      <c r="AZ105" s="140"/>
      <c r="BA105" s="140"/>
      <c r="BB105" s="140"/>
      <c r="BC105" s="140"/>
      <c r="BD105" s="140"/>
      <c r="BE105" s="140"/>
      <c r="BF105" s="140"/>
      <c r="BG105" s="140"/>
      <c r="BH105" s="140"/>
    </row>
    <row r="106" ht="31" customHeight="1" spans="1:60">
      <c r="A106" s="36"/>
      <c r="B106" s="144"/>
      <c r="C106" s="145"/>
      <c r="D106" s="156"/>
      <c r="E106" s="156"/>
      <c r="F106" s="145"/>
      <c r="G106" s="156"/>
      <c r="H106" s="145"/>
      <c r="I106" s="145"/>
      <c r="J106" s="175"/>
      <c r="K106" s="166"/>
      <c r="L106" s="174" t="str">
        <f>IF(B106&lt;&gt;"",IF(I106="独立完成",1,IF(I106="合作完成",P106))*(IF(H106="否",0.5,IF(H106="是",1,0))),"")</f>
        <v/>
      </c>
      <c r="M106" s="174" t="str">
        <f>IF(B106&lt;&gt;"",SUM(Q106:X106)*L106,"")</f>
        <v/>
      </c>
      <c r="N106" s="168"/>
      <c r="O106" s="168"/>
      <c r="P106" s="168">
        <f>IF(K106=1,0.8,IF(K106=2,0.2,IF(K106&gt;2,0.1,0)))</f>
        <v>0</v>
      </c>
      <c r="Q106" s="181">
        <f>IF(B106="JA三大检索",20,0)</f>
        <v>0</v>
      </c>
      <c r="R106" s="181">
        <f>IF(B106="中文核心期刊",15,0)</f>
        <v>0</v>
      </c>
      <c r="S106" s="181">
        <f>IF(B106="CA三大检索",8,0)</f>
        <v>0</v>
      </c>
      <c r="T106" s="181">
        <f>IF(B106="一般期刊、外文期刊",5,0)</f>
        <v>0</v>
      </c>
      <c r="U106" s="181">
        <f>IF(B106="国际学术会议论文集",5,0)</f>
        <v>0</v>
      </c>
      <c r="V106" s="181">
        <f>IF(B106="国家级重要报刊",15,0)</f>
        <v>0</v>
      </c>
      <c r="W106" s="181">
        <f>IF(B106="省级重要报刊理论版",12,0)</f>
        <v>0</v>
      </c>
      <c r="X106" s="181">
        <f>IF(B106="市级重要报刊",5,0)</f>
        <v>0</v>
      </c>
      <c r="Y106" s="179" t="str">
        <f>IF(B106&lt;&gt;"",(IF(OR(B106="一般期刊、外文期刊",B106="国际学术会议论文集",B106="市级重要报刊"),5,IF(OR(B106="中文核心期刊",B106="国家级重要报刊"),15,IF(B106="CA三大检索",8,IF(B106="JA三大检索",20,IF(B106="省级重要报刊理论版",12,0))))))*L106,"")</f>
        <v/>
      </c>
      <c r="Z106" s="196">
        <f>IF(AND(OR(B106="JA三大检索",B106="中文核心期刊"),OR(I106="独立完成",K106=1)),1,0)</f>
        <v>0</v>
      </c>
      <c r="AA106" s="197"/>
      <c r="AB106" s="117">
        <f>IF(OR(I106="独立完成",K106=1),1,0)</f>
        <v>0</v>
      </c>
      <c r="AC106" s="196">
        <f>IF(AND(OR(B106="国家级重要报刊",B106="省级重要报刊理论版"),OR(I106="独立完成",K106=1)),1,0)</f>
        <v>0</v>
      </c>
      <c r="AD106" s="197"/>
      <c r="AK106" s="140"/>
      <c r="AL106" s="140"/>
      <c r="AM106" s="140"/>
      <c r="AN106" s="140"/>
      <c r="AO106" s="140"/>
      <c r="AP106" s="140"/>
      <c r="AQ106" s="140"/>
      <c r="AR106" s="140"/>
      <c r="AS106" s="140"/>
      <c r="AT106" s="140"/>
      <c r="AU106" s="140"/>
      <c r="AV106" s="140"/>
      <c r="AW106" s="140"/>
      <c r="AX106" s="140"/>
      <c r="AY106" s="140"/>
      <c r="AZ106" s="140"/>
      <c r="BA106" s="140"/>
      <c r="BB106" s="140"/>
      <c r="BC106" s="140"/>
      <c r="BD106" s="140"/>
      <c r="BE106" s="140"/>
      <c r="BF106" s="140"/>
      <c r="BG106" s="140"/>
      <c r="BH106" s="140"/>
    </row>
    <row r="107" ht="31" customHeight="1" spans="1:60">
      <c r="A107" s="36"/>
      <c r="B107" s="146" t="s">
        <v>89</v>
      </c>
      <c r="C107" s="147"/>
      <c r="D107" s="147"/>
      <c r="E107" s="147"/>
      <c r="F107" s="147"/>
      <c r="G107" s="147"/>
      <c r="H107" s="147"/>
      <c r="I107" s="147"/>
      <c r="J107" s="147"/>
      <c r="K107" s="147"/>
      <c r="L107" s="169"/>
      <c r="M107" s="174">
        <f>IF(M104&lt;&gt;"",SUM(M104:M106),0)</f>
        <v>0</v>
      </c>
      <c r="N107" s="171"/>
      <c r="O107" s="171"/>
      <c r="AK107" s="140"/>
      <c r="AL107" s="140"/>
      <c r="AM107" s="140"/>
      <c r="AN107" s="140"/>
      <c r="AO107" s="140"/>
      <c r="AP107" s="140"/>
      <c r="AQ107" s="140"/>
      <c r="AR107" s="140"/>
      <c r="AS107" s="140"/>
      <c r="AT107" s="140"/>
      <c r="AU107" s="140"/>
      <c r="AV107" s="140"/>
      <c r="AW107" s="140"/>
      <c r="AX107" s="140"/>
      <c r="AY107" s="140"/>
      <c r="AZ107" s="140"/>
      <c r="BA107" s="140"/>
      <c r="BB107" s="140"/>
      <c r="BC107" s="140"/>
      <c r="BD107" s="140"/>
      <c r="BE107" s="140"/>
      <c r="BF107" s="140"/>
      <c r="BG107" s="140"/>
      <c r="BH107" s="140"/>
    </row>
    <row r="108" ht="31" customHeight="1" spans="1:60">
      <c r="A108" s="36"/>
      <c r="B108" s="148" t="s">
        <v>163</v>
      </c>
      <c r="C108" s="148"/>
      <c r="D108" s="148"/>
      <c r="E108" s="148"/>
      <c r="F108" s="148"/>
      <c r="G108" s="148"/>
      <c r="H108" s="148"/>
      <c r="I108" s="148"/>
      <c r="J108" s="148"/>
      <c r="K108" s="148"/>
      <c r="L108" s="148"/>
      <c r="M108" s="148"/>
      <c r="N108" s="148"/>
      <c r="O108" s="148"/>
      <c r="AK108" s="140"/>
      <c r="AL108" s="140"/>
      <c r="AM108" s="140"/>
      <c r="AN108" s="140"/>
      <c r="AO108" s="140"/>
      <c r="AP108" s="140"/>
      <c r="AQ108" s="140"/>
      <c r="AR108" s="140"/>
      <c r="AS108" s="140"/>
      <c r="AT108" s="140"/>
      <c r="AU108" s="140"/>
      <c r="AV108" s="140"/>
      <c r="AW108" s="140"/>
      <c r="AX108" s="140"/>
      <c r="AY108" s="140"/>
      <c r="AZ108" s="140"/>
      <c r="BA108" s="140"/>
      <c r="BB108" s="140"/>
      <c r="BC108" s="140"/>
      <c r="BD108" s="140"/>
      <c r="BE108" s="140"/>
      <c r="BF108" s="140"/>
      <c r="BG108" s="140"/>
      <c r="BH108" s="140"/>
    </row>
    <row r="109" ht="31" customHeight="1" spans="1:60">
      <c r="A109" s="36"/>
      <c r="B109" s="155" t="s">
        <v>164</v>
      </c>
      <c r="C109" s="97" t="s">
        <v>122</v>
      </c>
      <c r="D109" s="113"/>
      <c r="E109" s="96"/>
      <c r="F109" s="97" t="s">
        <v>165</v>
      </c>
      <c r="G109" s="123"/>
      <c r="H109" s="143" t="s">
        <v>166</v>
      </c>
      <c r="I109" s="62" t="s">
        <v>167</v>
      </c>
      <c r="J109" s="176" t="s">
        <v>168</v>
      </c>
      <c r="K109" s="62" t="s">
        <v>169</v>
      </c>
      <c r="L109" s="62" t="s">
        <v>84</v>
      </c>
      <c r="M109" s="62" t="s">
        <v>85</v>
      </c>
      <c r="N109" s="62" t="s">
        <v>43</v>
      </c>
      <c r="O109" s="62" t="s">
        <v>44</v>
      </c>
      <c r="P109" s="32" t="s">
        <v>170</v>
      </c>
      <c r="Q109" s="179" t="s">
        <v>171</v>
      </c>
      <c r="R109" s="32" t="s">
        <v>172</v>
      </c>
      <c r="S109" s="130" t="s">
        <v>173</v>
      </c>
      <c r="T109" s="131" t="s">
        <v>174</v>
      </c>
      <c r="U109" s="130" t="s">
        <v>175</v>
      </c>
      <c r="V109" s="130" t="s">
        <v>176</v>
      </c>
      <c r="W109" s="130" t="s">
        <v>177</v>
      </c>
      <c r="X109" s="130" t="s">
        <v>178</v>
      </c>
      <c r="Y109" s="130" t="s">
        <v>179</v>
      </c>
      <c r="Z109" s="130" t="s">
        <v>180</v>
      </c>
      <c r="AA109" s="130" t="s">
        <v>181</v>
      </c>
      <c r="AB109" s="132" t="s">
        <v>182</v>
      </c>
      <c r="AC109" s="133"/>
      <c r="AD109" s="134" t="s">
        <v>183</v>
      </c>
      <c r="AE109" s="135"/>
      <c r="AF109" s="132" t="s">
        <v>119</v>
      </c>
      <c r="AG109" s="133"/>
      <c r="AK109" s="140"/>
      <c r="AL109" s="140"/>
      <c r="AM109" s="140"/>
      <c r="AN109" s="140"/>
      <c r="AO109" s="140"/>
      <c r="AP109" s="140"/>
      <c r="AQ109" s="140"/>
      <c r="AR109" s="140"/>
      <c r="AS109" s="140"/>
      <c r="AT109" s="140"/>
      <c r="AU109" s="140"/>
      <c r="AV109" s="140"/>
      <c r="AW109" s="140"/>
      <c r="AX109" s="140"/>
      <c r="AY109" s="140"/>
      <c r="AZ109" s="140"/>
      <c r="BA109" s="140"/>
      <c r="BB109" s="140"/>
      <c r="BC109" s="140"/>
      <c r="BD109" s="140"/>
      <c r="BE109" s="140"/>
      <c r="BF109" s="140"/>
      <c r="BG109" s="140"/>
      <c r="BH109" s="140"/>
    </row>
    <row r="110" ht="31" customHeight="1" spans="1:60">
      <c r="A110" s="36"/>
      <c r="B110" s="144"/>
      <c r="C110" s="154"/>
      <c r="D110" s="157"/>
      <c r="E110" s="158"/>
      <c r="F110" s="154"/>
      <c r="G110" s="158"/>
      <c r="H110" s="145"/>
      <c r="I110" s="177"/>
      <c r="J110" s="178"/>
      <c r="K110" s="145"/>
      <c r="L110" s="174" t="str">
        <f>IF(B110&lt;&gt;"",P110*R110,"")</f>
        <v/>
      </c>
      <c r="M110" s="174" t="str">
        <f>IF(B110&lt;&gt;"",SUM(S110:AA110)*J110*L110,"")</f>
        <v/>
      </c>
      <c r="N110" s="168"/>
      <c r="O110" s="32"/>
      <c r="P110" s="32">
        <f>IF(OR(K110="独著",K110="第一主编"),1,IF(K110="第二主编",0.8,IF(K110="参编",0.6,0)))</f>
        <v>0</v>
      </c>
      <c r="Q110" s="179">
        <f>IF(B110&lt;&gt;"",(IF(OR(B110="普通教材",B110="普通马克思主义教材"),0.3,IF(OR(B110="省级规划教材",B110="省级马克思主义教材"),0.6,IF(OR(B110="国家级规划教材",B110="国家级马克思主义教材"),0.8,IF(B110="编著、译著",1,IF(OR(B110="学术专著",B110="马克思主义理论学术专著"),1.5,IF(B110="校本教材、实训指导书",0.1))))))),0)</f>
        <v>0</v>
      </c>
      <c r="R110" s="32">
        <f>IF(B110&lt;&gt;"",(IF(H110="否",1,IF(AND(B110="国家级规划教材",H110="是"),0.6,IF(AND(B110="省级规划教材",H110="是"),0.4,0)))),0)</f>
        <v>0</v>
      </c>
      <c r="S110" s="32">
        <f>IF(B110="普通教材",0.3,0)</f>
        <v>0</v>
      </c>
      <c r="T110" s="32">
        <f>IF(B110="省级规划教材",0.6,0)</f>
        <v>0</v>
      </c>
      <c r="U110" s="32">
        <f>IF(B110="国家级规划教材",0.8,0)</f>
        <v>0</v>
      </c>
      <c r="V110" s="32">
        <f>IF(B110="编著、译著",1,0)</f>
        <v>0</v>
      </c>
      <c r="W110" s="32">
        <f>IF(OR(B110="马克思主义理论学术专著",B110="学术专著"),1.5,0)</f>
        <v>0</v>
      </c>
      <c r="X110" s="32">
        <f>IF(B110="校本教材、实训指导书",0.1,0)</f>
        <v>0</v>
      </c>
      <c r="Y110" s="32">
        <f>IF(B110="国家级马克思主义教材",0.8,0)</f>
        <v>0</v>
      </c>
      <c r="Z110" s="32">
        <f>IF(B110="省级马克思主义教材",0.6,0)</f>
        <v>0</v>
      </c>
      <c r="AA110" s="32">
        <f>IF(B110="普通马克思主义教材",0.3,0)</f>
        <v>0</v>
      </c>
      <c r="AB110" s="134">
        <f>IF(AND(OR(K110="独著",K110="第一主编",K110="第二主编"),AND(J110&lt;&gt;"",J110&gt;=5)),1,0)</f>
        <v>0</v>
      </c>
      <c r="AC110" s="135"/>
      <c r="AD110" s="134">
        <f>IF(AND(K110="参编",AND(J110&lt;&gt;"",J110&gt;=5)),1,0)</f>
        <v>0</v>
      </c>
      <c r="AE110" s="135"/>
      <c r="AF110" s="134" t="str">
        <f>IF(OR(SUM(AB104:AB106)&gt;0,SUM(AB110:AE111)&gt;0),"满足","不满足")</f>
        <v>不满足</v>
      </c>
      <c r="AG110" s="135"/>
      <c r="AK110" s="140"/>
      <c r="AL110" s="140"/>
      <c r="AM110" s="140"/>
      <c r="AN110" s="140"/>
      <c r="AO110" s="140"/>
      <c r="AP110" s="140"/>
      <c r="AQ110" s="140"/>
      <c r="AR110" s="140"/>
      <c r="AS110" s="140"/>
      <c r="AT110" s="140"/>
      <c r="AU110" s="140"/>
      <c r="AV110" s="140"/>
      <c r="AW110" s="140"/>
      <c r="AX110" s="140"/>
      <c r="AY110" s="140"/>
      <c r="AZ110" s="140"/>
      <c r="BA110" s="140"/>
      <c r="BB110" s="140"/>
      <c r="BC110" s="140"/>
      <c r="BD110" s="140"/>
      <c r="BE110" s="140"/>
      <c r="BF110" s="140"/>
      <c r="BG110" s="140"/>
      <c r="BH110" s="140"/>
    </row>
    <row r="111" ht="31" customHeight="1" spans="1:60">
      <c r="A111" s="36"/>
      <c r="B111" s="144"/>
      <c r="C111" s="154"/>
      <c r="D111" s="157"/>
      <c r="E111" s="158"/>
      <c r="F111" s="154"/>
      <c r="G111" s="159"/>
      <c r="H111" s="145"/>
      <c r="I111" s="177"/>
      <c r="J111" s="178"/>
      <c r="K111" s="145"/>
      <c r="L111" s="174" t="str">
        <f>IF(B111&lt;&gt;"",P111*R111,"")</f>
        <v/>
      </c>
      <c r="M111" s="174" t="str">
        <f>IF(B111&lt;&gt;"",SUM(S111:AA111)*J111*L111,"")</f>
        <v/>
      </c>
      <c r="N111" s="168"/>
      <c r="O111" s="32"/>
      <c r="P111" s="32">
        <f>IF(OR(K111="独著",K111="第一主编"),1,IF(K111="第二主编",0.8,IF(K111="参编",0.6,0)))</f>
        <v>0</v>
      </c>
      <c r="Q111" s="179">
        <f>IF(B111&lt;&gt;"",(IF(OR(B111="普通教材",B111="普通马克思主义教材"),0.3,IF(OR(B111="省级规划教材",B111="省级马克思主义教材"),0.6,IF(OR(B111="国家级规划教材",B111="国家级马克思主义教材"),0.8,IF(B111="编著、译著",1,IF(OR(B111="学术专著",B111="马克思主义理论学术专著"),1.5,IF(B111="校本教材、实训指导书",0.1))))))),0)</f>
        <v>0</v>
      </c>
      <c r="R111" s="32">
        <f>IF(B111&lt;&gt;"",(IF(H111="否",1,IF(AND(B111="国家级规划教材",H111="是"),0.6,IF(AND(B111="省级规划教材",H111="是"),0.4,0)))),0)</f>
        <v>0</v>
      </c>
      <c r="S111" s="32">
        <f>IF(B111="普通教材",0.3,0)</f>
        <v>0</v>
      </c>
      <c r="T111" s="32">
        <f>IF(B111="省级规划教材",0.6,0)</f>
        <v>0</v>
      </c>
      <c r="U111" s="32">
        <f>IF(B111="国家级规划教材",0.8,0)</f>
        <v>0</v>
      </c>
      <c r="V111" s="32">
        <f>IF(B111="编著、译著",1,0)</f>
        <v>0</v>
      </c>
      <c r="W111" s="32">
        <f>IF(OR(B111="马克思主义理论学术专著",B111="学术专著"),1.5,0)</f>
        <v>0</v>
      </c>
      <c r="X111" s="32">
        <f>IF(B111="校本教材、实训指导书",0.1,0)</f>
        <v>0</v>
      </c>
      <c r="Y111" s="32">
        <f>IF(B111="国家级马克思主义教材",0.8,0)</f>
        <v>0</v>
      </c>
      <c r="Z111" s="32">
        <f>IF(B111="省级马克思主义教材",0.6,0)</f>
        <v>0</v>
      </c>
      <c r="AA111" s="32">
        <f>IF(B111="普通马克思主义教材",0.3,0)</f>
        <v>0</v>
      </c>
      <c r="AB111" s="134">
        <f>IF(AND(OR(K111="独著",K111="第一主编",K111="第二主编"),AND(J111&lt;&gt;"",J111&gt;=5)),1,0)</f>
        <v>0</v>
      </c>
      <c r="AC111" s="135"/>
      <c r="AD111" s="134">
        <f>IF(AND(K111="参编",AND(J111&lt;&gt;"",J111&gt;=5)),1,0)</f>
        <v>0</v>
      </c>
      <c r="AE111" s="135"/>
      <c r="AK111" s="140"/>
      <c r="AL111" s="140"/>
      <c r="AM111" s="140"/>
      <c r="AN111" s="140"/>
      <c r="AO111" s="140"/>
      <c r="AP111" s="140"/>
      <c r="AQ111" s="140"/>
      <c r="AR111" s="140"/>
      <c r="AS111" s="140"/>
      <c r="AT111" s="140"/>
      <c r="AU111" s="140"/>
      <c r="AV111" s="140"/>
      <c r="AW111" s="140"/>
      <c r="AX111" s="140"/>
      <c r="AY111" s="140"/>
      <c r="AZ111" s="140"/>
      <c r="BA111" s="140"/>
      <c r="BB111" s="140"/>
      <c r="BC111" s="140"/>
      <c r="BD111" s="140"/>
      <c r="BE111" s="140"/>
      <c r="BF111" s="140"/>
      <c r="BG111" s="140"/>
      <c r="BH111" s="140"/>
    </row>
    <row r="112" ht="31" customHeight="1" spans="1:60">
      <c r="A112" s="36"/>
      <c r="B112" s="146" t="s">
        <v>89</v>
      </c>
      <c r="C112" s="147"/>
      <c r="D112" s="147"/>
      <c r="E112" s="147"/>
      <c r="F112" s="147"/>
      <c r="G112" s="147"/>
      <c r="H112" s="147"/>
      <c r="I112" s="147"/>
      <c r="J112" s="147"/>
      <c r="K112" s="147"/>
      <c r="L112" s="169"/>
      <c r="M112" s="174">
        <f>IF(M110&lt;&gt;"",SUM(M110:M111),0)</f>
        <v>0</v>
      </c>
      <c r="N112" s="171"/>
      <c r="O112" s="171"/>
      <c r="AK112" s="140"/>
      <c r="AL112" s="140"/>
      <c r="AM112" s="140"/>
      <c r="AN112" s="140"/>
      <c r="AO112" s="140"/>
      <c r="AP112" s="140"/>
      <c r="AQ112" s="140"/>
      <c r="AR112" s="140"/>
      <c r="AS112" s="140"/>
      <c r="AT112" s="140"/>
      <c r="AU112" s="140"/>
      <c r="AV112" s="140"/>
      <c r="AW112" s="140"/>
      <c r="AX112" s="140"/>
      <c r="AY112" s="140"/>
      <c r="AZ112" s="140"/>
      <c r="BA112" s="140"/>
      <c r="BB112" s="140"/>
      <c r="BC112" s="140"/>
      <c r="BD112" s="140"/>
      <c r="BE112" s="140"/>
      <c r="BF112" s="140"/>
      <c r="BG112" s="140"/>
      <c r="BH112" s="140"/>
    </row>
    <row r="113" ht="31" customHeight="1" spans="1:60">
      <c r="A113" s="36"/>
      <c r="B113" s="148" t="s">
        <v>184</v>
      </c>
      <c r="C113" s="148"/>
      <c r="D113" s="148"/>
      <c r="E113" s="148"/>
      <c r="F113" s="148"/>
      <c r="G113" s="148"/>
      <c r="H113" s="148"/>
      <c r="I113" s="148"/>
      <c r="J113" s="148"/>
      <c r="K113" s="148"/>
      <c r="L113" s="148"/>
      <c r="M113" s="148"/>
      <c r="N113" s="148"/>
      <c r="O113" s="148"/>
      <c r="AK113" s="140"/>
      <c r="AL113" s="140"/>
      <c r="AM113" s="140"/>
      <c r="AN113" s="140"/>
      <c r="AO113" s="140"/>
      <c r="AP113" s="140"/>
      <c r="AQ113" s="140"/>
      <c r="AR113" s="140"/>
      <c r="AS113" s="140"/>
      <c r="AT113" s="140"/>
      <c r="AU113" s="140"/>
      <c r="AV113" s="140"/>
      <c r="AW113" s="140"/>
      <c r="AX113" s="140"/>
      <c r="AY113" s="140"/>
      <c r="AZ113" s="140"/>
      <c r="BA113" s="140"/>
      <c r="BB113" s="140"/>
      <c r="BC113" s="140"/>
      <c r="BD113" s="140"/>
      <c r="BE113" s="140"/>
      <c r="BF113" s="140"/>
      <c r="BG113" s="140"/>
      <c r="BH113" s="140"/>
    </row>
    <row r="114" ht="31" customHeight="1" spans="1:60">
      <c r="A114" s="36"/>
      <c r="B114" s="155" t="s">
        <v>185</v>
      </c>
      <c r="C114" s="155" t="s">
        <v>79</v>
      </c>
      <c r="D114" s="155"/>
      <c r="E114" s="155"/>
      <c r="F114" s="155"/>
      <c r="G114" s="155" t="s">
        <v>186</v>
      </c>
      <c r="H114" s="62" t="s">
        <v>81</v>
      </c>
      <c r="I114" s="62" t="s">
        <v>82</v>
      </c>
      <c r="J114" s="62" t="s">
        <v>92</v>
      </c>
      <c r="K114" s="62" t="s">
        <v>187</v>
      </c>
      <c r="L114" s="62" t="s">
        <v>84</v>
      </c>
      <c r="M114" s="62" t="s">
        <v>85</v>
      </c>
      <c r="N114" s="62" t="s">
        <v>43</v>
      </c>
      <c r="O114" s="62" t="s">
        <v>44</v>
      </c>
      <c r="P114" s="179" t="s">
        <v>188</v>
      </c>
      <c r="Q114" s="32" t="s">
        <v>189</v>
      </c>
      <c r="R114" s="32" t="s">
        <v>150</v>
      </c>
      <c r="S114" s="130" t="s">
        <v>190</v>
      </c>
      <c r="T114" s="130" t="s">
        <v>191</v>
      </c>
      <c r="U114" s="130" t="s">
        <v>192</v>
      </c>
      <c r="V114" s="130" t="s">
        <v>193</v>
      </c>
      <c r="W114" s="130" t="s">
        <v>194</v>
      </c>
      <c r="X114" s="130" t="s">
        <v>195</v>
      </c>
      <c r="Y114" s="132" t="s">
        <v>196</v>
      </c>
      <c r="Z114" s="133"/>
      <c r="AA114" s="198" t="s">
        <v>197</v>
      </c>
      <c r="AB114" s="199"/>
      <c r="AC114" s="117" t="s">
        <v>119</v>
      </c>
      <c r="AK114" s="140"/>
      <c r="AL114" s="140"/>
      <c r="AM114" s="140"/>
      <c r="AN114" s="140"/>
      <c r="AO114" s="140"/>
      <c r="AP114" s="140"/>
      <c r="AQ114" s="140"/>
      <c r="AR114" s="140"/>
      <c r="AS114" s="140"/>
      <c r="AT114" s="140"/>
      <c r="AU114" s="140"/>
      <c r="AV114" s="140"/>
      <c r="AW114" s="140"/>
      <c r="AX114" s="140"/>
      <c r="AY114" s="140"/>
      <c r="AZ114" s="140"/>
      <c r="BA114" s="140"/>
      <c r="BB114" s="140"/>
      <c r="BC114" s="140"/>
      <c r="BD114" s="140"/>
      <c r="BE114" s="140"/>
      <c r="BF114" s="140"/>
      <c r="BG114" s="140"/>
      <c r="BH114" s="140"/>
    </row>
    <row r="115" ht="31" customHeight="1" spans="1:60">
      <c r="A115" s="36"/>
      <c r="B115" s="144"/>
      <c r="C115" s="145"/>
      <c r="D115" s="145"/>
      <c r="E115" s="145"/>
      <c r="F115" s="145"/>
      <c r="G115" s="160"/>
      <c r="H115" s="160"/>
      <c r="I115" s="160"/>
      <c r="J115" s="160"/>
      <c r="K115" s="180"/>
      <c r="L115" s="174" t="str">
        <f>IF(B115&lt;&gt;"",R115,"")</f>
        <v/>
      </c>
      <c r="M115" s="174" t="str">
        <f>IF(B115&lt;&gt;"",SUM(S115:X115)*L115,"")</f>
        <v/>
      </c>
      <c r="N115" s="168"/>
      <c r="O115" s="181"/>
      <c r="P115" s="182">
        <f>IF(B115="国家级课题项目",40,IF(B115="省级课题项目",20,IF(B115="横向课题项目",2,IF(B115="市级课题项目",7,IF(B115="校级课题项目",5,0)))))</f>
        <v>0</v>
      </c>
      <c r="Q115" s="181">
        <f>IF(AND(B115="横向课题项目",K115&gt;=1),INT((K115-1)*10)*0.1,0)</f>
        <v>0</v>
      </c>
      <c r="R115" s="32">
        <f>IF(H115="独立完成",1,IF(J115=1,0.8,IF(J115=2,0.2,IF(J115=3,0.1,IF(J115&gt;3,0.05,0)))))</f>
        <v>0</v>
      </c>
      <c r="S115" s="181">
        <f>IF(Q115&gt;18,18,Q115)</f>
        <v>0</v>
      </c>
      <c r="T115" s="32">
        <f>IF(B115="国家级课题项目",40,0)</f>
        <v>0</v>
      </c>
      <c r="U115" s="32">
        <f>IF(B115="省级课题项目",20,0)</f>
        <v>0</v>
      </c>
      <c r="V115" s="32">
        <f>IF(B115="市级课题项目",10,0)</f>
        <v>0</v>
      </c>
      <c r="W115" s="32">
        <f>IF(B115="校级课题项目",5,0)</f>
        <v>0</v>
      </c>
      <c r="X115" s="32">
        <f>IF(B115="横向课题项目",2,0)</f>
        <v>0</v>
      </c>
      <c r="Y115" s="134">
        <f>IF(AND(OR(B115="国家级课题项目",B115="省级课题项目",B115="市级课题项目"),OR(H115="独立完成",J115=1)),1,0)</f>
        <v>0</v>
      </c>
      <c r="Z115" s="135"/>
      <c r="AA115" s="196">
        <f>IF(AND(OR(B115="国家级课题项目",B115="省级课题项目"),AND(H115="合作完成",J115&lt;&gt;"",J115&lt;&gt;1,J115&lt;4)),1,0)</f>
        <v>0</v>
      </c>
      <c r="AB115" s="197"/>
      <c r="AC115" s="117" t="str">
        <f>IF(SUM(Y115:Z118)&gt;0,"满足","不满足")</f>
        <v>不满足</v>
      </c>
      <c r="AK115" s="140"/>
      <c r="AL115" s="140"/>
      <c r="AM115" s="140"/>
      <c r="AN115" s="140"/>
      <c r="AO115" s="140"/>
      <c r="AP115" s="140"/>
      <c r="AQ115" s="140"/>
      <c r="AR115" s="140"/>
      <c r="AS115" s="140"/>
      <c r="AT115" s="140"/>
      <c r="AU115" s="140"/>
      <c r="AV115" s="140"/>
      <c r="AW115" s="140"/>
      <c r="AX115" s="140"/>
      <c r="AY115" s="140"/>
      <c r="AZ115" s="140"/>
      <c r="BA115" s="140"/>
      <c r="BB115" s="140"/>
      <c r="BC115" s="140"/>
      <c r="BD115" s="140"/>
      <c r="BE115" s="140"/>
      <c r="BF115" s="140"/>
      <c r="BG115" s="140"/>
      <c r="BH115" s="140"/>
    </row>
    <row r="116" ht="31" customHeight="1" spans="1:60">
      <c r="A116" s="36"/>
      <c r="B116" s="144"/>
      <c r="C116" s="145"/>
      <c r="D116" s="145"/>
      <c r="E116" s="145"/>
      <c r="F116" s="145"/>
      <c r="G116" s="160"/>
      <c r="H116" s="160"/>
      <c r="I116" s="160"/>
      <c r="J116" s="160"/>
      <c r="K116" s="180"/>
      <c r="L116" s="174" t="str">
        <f>IF(B116&lt;&gt;"",R116,"")</f>
        <v/>
      </c>
      <c r="M116" s="174" t="str">
        <f>IF(B116&lt;&gt;"",SUM(S116:X116)*L116,"")</f>
        <v/>
      </c>
      <c r="N116" s="168"/>
      <c r="O116" s="181"/>
      <c r="P116" s="182">
        <f>IF(B116="国家级课题项目",40,IF(B116="省级课题项目",20,IF(B116="横向课题项目",2,IF(B116="市级课题项目",7,IF(B116="校级课题项目",5,0)))))</f>
        <v>0</v>
      </c>
      <c r="Q116" s="181">
        <f>IF(AND(B116="横向课题项目",K116&gt;=1),INT((K116-1)*10)*0.1,0)</f>
        <v>0</v>
      </c>
      <c r="R116" s="32">
        <f>IF(H116="独立完成",1,IF(J116=1,0.8,IF(J116=2,0.2,IF(J116=3,0.1,IF(J116&gt;3,0.05,0)))))</f>
        <v>0</v>
      </c>
      <c r="S116" s="181">
        <f>IF(Q116&gt;18,18,Q116)</f>
        <v>0</v>
      </c>
      <c r="T116" s="32">
        <f>IF(B116="国家级课题项目",40,0)</f>
        <v>0</v>
      </c>
      <c r="U116" s="32">
        <f>IF(B116="省级课题项目",20,0)</f>
        <v>0</v>
      </c>
      <c r="V116" s="32">
        <f>IF(B116="市级课题项目",10,0)</f>
        <v>0</v>
      </c>
      <c r="W116" s="32">
        <f>IF(B116="校级课题项目",5,0)</f>
        <v>0</v>
      </c>
      <c r="X116" s="32">
        <f>IF(B116="横向课题项目",2,0)</f>
        <v>0</v>
      </c>
      <c r="Y116" s="134">
        <f>IF(AND(OR(B116="国家级课题项目",B116="省级课题项目",B116="市级课题项目"),OR(H116="独立完成",J116=1)),1,0)</f>
        <v>0</v>
      </c>
      <c r="Z116" s="135"/>
      <c r="AA116" s="196">
        <f>IF(AND(OR(B116="国家级课题项目",B116="省级课题项目"),AND(H116="合作完成",J116&lt;&gt;"",J116&lt;&gt;1,J116&lt;4)),1,0)</f>
        <v>0</v>
      </c>
      <c r="AB116" s="197"/>
      <c r="AK116" s="140"/>
      <c r="AL116" s="140"/>
      <c r="AM116" s="140"/>
      <c r="AN116" s="140"/>
      <c r="AO116" s="140"/>
      <c r="AP116" s="140"/>
      <c r="AQ116" s="140"/>
      <c r="AR116" s="140"/>
      <c r="AS116" s="140"/>
      <c r="AT116" s="140"/>
      <c r="AU116" s="140"/>
      <c r="AV116" s="140"/>
      <c r="AW116" s="140"/>
      <c r="AX116" s="140"/>
      <c r="AY116" s="140"/>
      <c r="AZ116" s="140"/>
      <c r="BA116" s="140"/>
      <c r="BB116" s="140"/>
      <c r="BC116" s="140"/>
      <c r="BD116" s="140"/>
      <c r="BE116" s="140"/>
      <c r="BF116" s="140"/>
      <c r="BG116" s="140"/>
      <c r="BH116" s="140"/>
    </row>
    <row r="117" ht="31" customHeight="1" spans="1:60">
      <c r="A117" s="36"/>
      <c r="B117" s="144"/>
      <c r="C117" s="145"/>
      <c r="D117" s="145"/>
      <c r="E117" s="145"/>
      <c r="F117" s="145"/>
      <c r="G117" s="160"/>
      <c r="H117" s="160"/>
      <c r="I117" s="160"/>
      <c r="J117" s="160"/>
      <c r="K117" s="180"/>
      <c r="L117" s="174" t="str">
        <f>IF(B117&lt;&gt;"",R117,"")</f>
        <v/>
      </c>
      <c r="M117" s="174" t="str">
        <f>IF(B117&lt;&gt;"",SUM(S117:X117)*L117,"")</f>
        <v/>
      </c>
      <c r="N117" s="168"/>
      <c r="O117" s="181"/>
      <c r="P117" s="182">
        <f>IF(B117="国家级课题项目",40,IF(B117="省级课题项目",20,IF(B117="横向课题项目",2,IF(B117="市级课题项目",7,IF(B117="校级课题项目",5,0)))))</f>
        <v>0</v>
      </c>
      <c r="Q117" s="181">
        <f>IF(AND(B117="横向课题项目",K117&gt;=1),INT((K117-1)*10)*0.1,0)</f>
        <v>0</v>
      </c>
      <c r="R117" s="32">
        <f>IF(H117="独立完成",1,IF(J117=1,0.8,IF(J117=2,0.2,IF(J117=3,0.1,IF(J117&gt;3,0.05,0)))))</f>
        <v>0</v>
      </c>
      <c r="S117" s="181">
        <f>IF(Q117&gt;18,18,Q117)</f>
        <v>0</v>
      </c>
      <c r="T117" s="32">
        <f>IF(B117="国家级课题项目",40,0)</f>
        <v>0</v>
      </c>
      <c r="U117" s="32">
        <f>IF(B117="省级课题项目",20,0)</f>
        <v>0</v>
      </c>
      <c r="V117" s="32">
        <f>IF(B117="市级课题项目",10,0)</f>
        <v>0</v>
      </c>
      <c r="W117" s="32">
        <f>IF(B117="校级课题项目",5,0)</f>
        <v>0</v>
      </c>
      <c r="X117" s="32">
        <f>IF(B117="横向课题项目",2,0)</f>
        <v>0</v>
      </c>
      <c r="Y117" s="134">
        <f>IF(AND(OR(B117="国家级课题项目",B117="省级课题项目",B117="市级课题项目"),OR(H117="独立完成",J117=1)),1,0)</f>
        <v>0</v>
      </c>
      <c r="Z117" s="135"/>
      <c r="AA117" s="196">
        <f>IF(AND(OR(B117="国家级课题项目",B117="省级课题项目"),AND(H117="合作完成",J117&lt;&gt;"",J117&lt;&gt;1,J117&lt;4)),1,0)</f>
        <v>0</v>
      </c>
      <c r="AB117" s="197"/>
      <c r="AK117" s="140"/>
      <c r="AL117" s="140"/>
      <c r="AM117" s="140"/>
      <c r="AN117" s="140"/>
      <c r="AO117" s="140"/>
      <c r="AP117" s="140"/>
      <c r="AQ117" s="140"/>
      <c r="AR117" s="140"/>
      <c r="AS117" s="140"/>
      <c r="AT117" s="140"/>
      <c r="AU117" s="140"/>
      <c r="AV117" s="140"/>
      <c r="AW117" s="140"/>
      <c r="AX117" s="140"/>
      <c r="AY117" s="140"/>
      <c r="AZ117" s="140"/>
      <c r="BA117" s="140"/>
      <c r="BB117" s="140"/>
      <c r="BC117" s="140"/>
      <c r="BD117" s="140"/>
      <c r="BE117" s="140"/>
      <c r="BF117" s="140"/>
      <c r="BG117" s="140"/>
      <c r="BH117" s="140"/>
    </row>
    <row r="118" ht="31" customHeight="1" spans="1:60">
      <c r="A118" s="36"/>
      <c r="B118" s="144"/>
      <c r="C118" s="145"/>
      <c r="D118" s="145"/>
      <c r="E118" s="145"/>
      <c r="F118" s="145"/>
      <c r="G118" s="144"/>
      <c r="H118" s="144"/>
      <c r="I118" s="160"/>
      <c r="J118" s="183"/>
      <c r="K118" s="180"/>
      <c r="L118" s="174" t="str">
        <f>IF(B118&lt;&gt;"",R118,"")</f>
        <v/>
      </c>
      <c r="M118" s="174" t="str">
        <f>IF(B118&lt;&gt;"",SUM(S118:X118)*L118,"")</f>
        <v/>
      </c>
      <c r="N118" s="168"/>
      <c r="O118" s="181"/>
      <c r="P118" s="182">
        <f>IF(B118="国家级课题项目",40,IF(B118="省级课题项目",20,IF(B118="横向课题项目",2,IF(B118="市级课题项目",7,IF(B118="校级课题项目",5,0)))))</f>
        <v>0</v>
      </c>
      <c r="Q118" s="181">
        <f>IF(AND(B118="横向课题项目",K118&gt;=1),INT((K118-1)*10)*0.1,0)</f>
        <v>0</v>
      </c>
      <c r="R118" s="32">
        <f>IF(H118="独立完成",1,IF(J118=1,0.8,IF(J118=2,0.2,IF(J118=3,0.1,IF(J118&gt;3,0.05,0)))))</f>
        <v>0</v>
      </c>
      <c r="S118" s="181">
        <f>IF(Q118&gt;18,18,Q118)</f>
        <v>0</v>
      </c>
      <c r="T118" s="32">
        <f>IF(B118="国家级课题项目",40,0)</f>
        <v>0</v>
      </c>
      <c r="U118" s="32">
        <f>IF(B118="省级课题项目",20,0)</f>
        <v>0</v>
      </c>
      <c r="V118" s="32">
        <f>IF(B118="市级课题项目",10,0)</f>
        <v>0</v>
      </c>
      <c r="W118" s="32">
        <f>IF(B118="校级课题项目",5,0)</f>
        <v>0</v>
      </c>
      <c r="X118" s="32">
        <f>IF(B118="横向课题项目",2,0)</f>
        <v>0</v>
      </c>
      <c r="Y118" s="134">
        <f>IF(AND(OR(B118="国家级课题项目",B118="省级课题项目",B118="市级课题项目"),OR(H118="独立完成",J118=1)),1,0)</f>
        <v>0</v>
      </c>
      <c r="Z118" s="135"/>
      <c r="AA118" s="196">
        <f>IF(AND(OR(B118="国家级课题项目",B118="省级课题项目"),AND(H118="合作完成",J118&lt;&gt;"",J118&lt;&gt;1,J118&lt;4)),1,0)</f>
        <v>0</v>
      </c>
      <c r="AB118" s="197"/>
      <c r="AK118" s="140"/>
      <c r="AL118" s="140"/>
      <c r="AM118" s="140"/>
      <c r="AN118" s="140"/>
      <c r="AO118" s="140"/>
      <c r="AP118" s="140"/>
      <c r="AQ118" s="140"/>
      <c r="AR118" s="140"/>
      <c r="AS118" s="140"/>
      <c r="AT118" s="140"/>
      <c r="AU118" s="140"/>
      <c r="AV118" s="140"/>
      <c r="AW118" s="140"/>
      <c r="AX118" s="140"/>
      <c r="AY118" s="140"/>
      <c r="AZ118" s="140"/>
      <c r="BA118" s="140"/>
      <c r="BB118" s="140"/>
      <c r="BC118" s="140"/>
      <c r="BD118" s="140"/>
      <c r="BE118" s="140"/>
      <c r="BF118" s="140"/>
      <c r="BG118" s="140"/>
      <c r="BH118" s="140"/>
    </row>
    <row r="119" ht="31" customHeight="1" spans="1:60">
      <c r="A119" s="36"/>
      <c r="B119" s="146" t="s">
        <v>89</v>
      </c>
      <c r="C119" s="147"/>
      <c r="D119" s="147"/>
      <c r="E119" s="147"/>
      <c r="F119" s="147"/>
      <c r="G119" s="147"/>
      <c r="H119" s="147"/>
      <c r="I119" s="147"/>
      <c r="J119" s="147"/>
      <c r="K119" s="147"/>
      <c r="L119" s="169"/>
      <c r="M119" s="174">
        <f>IF(M115&lt;&gt;"",SUM(M115:M118),0)</f>
        <v>0</v>
      </c>
      <c r="N119" s="171"/>
      <c r="O119" s="171"/>
      <c r="AK119" s="140"/>
      <c r="AL119" s="140"/>
      <c r="AM119" s="140"/>
      <c r="AN119" s="140"/>
      <c r="AO119" s="140"/>
      <c r="AP119" s="140"/>
      <c r="AQ119" s="140"/>
      <c r="AR119" s="140"/>
      <c r="AS119" s="140"/>
      <c r="AT119" s="140"/>
      <c r="AU119" s="140"/>
      <c r="AV119" s="140"/>
      <c r="AW119" s="140"/>
      <c r="AX119" s="140"/>
      <c r="AY119" s="140"/>
      <c r="AZ119" s="140"/>
      <c r="BA119" s="140"/>
      <c r="BB119" s="140"/>
      <c r="BC119" s="140"/>
      <c r="BD119" s="140"/>
      <c r="BE119" s="140"/>
      <c r="BF119" s="140"/>
      <c r="BG119" s="140"/>
      <c r="BH119" s="140"/>
    </row>
    <row r="120" ht="31" customHeight="1" spans="1:60">
      <c r="A120" s="36"/>
      <c r="B120" s="148" t="s">
        <v>198</v>
      </c>
      <c r="C120" s="148"/>
      <c r="D120" s="148"/>
      <c r="E120" s="148"/>
      <c r="F120" s="148"/>
      <c r="G120" s="148"/>
      <c r="H120" s="148"/>
      <c r="I120" s="148"/>
      <c r="J120" s="148"/>
      <c r="K120" s="148"/>
      <c r="L120" s="148"/>
      <c r="M120" s="148"/>
      <c r="N120" s="148"/>
      <c r="O120" s="148"/>
      <c r="AK120" s="140"/>
      <c r="AL120" s="140"/>
      <c r="AM120" s="140"/>
      <c r="AN120" s="140"/>
      <c r="AO120" s="140"/>
      <c r="AP120" s="140"/>
      <c r="AQ120" s="140"/>
      <c r="AR120" s="140"/>
      <c r="AS120" s="140"/>
      <c r="AT120" s="140"/>
      <c r="AU120" s="140"/>
      <c r="AV120" s="140"/>
      <c r="AW120" s="140"/>
      <c r="AX120" s="140"/>
      <c r="AY120" s="140"/>
      <c r="AZ120" s="140"/>
      <c r="BA120" s="140"/>
      <c r="BB120" s="140"/>
      <c r="BC120" s="140"/>
      <c r="BD120" s="140"/>
      <c r="BE120" s="140"/>
      <c r="BF120" s="140"/>
      <c r="BG120" s="140"/>
      <c r="BH120" s="140"/>
    </row>
    <row r="121" ht="31" customHeight="1" spans="1:60">
      <c r="A121" s="36"/>
      <c r="B121" s="155" t="s">
        <v>185</v>
      </c>
      <c r="C121" s="86" t="s">
        <v>79</v>
      </c>
      <c r="D121" s="161"/>
      <c r="E121" s="87"/>
      <c r="F121" s="86" t="s">
        <v>199</v>
      </c>
      <c r="G121" s="87"/>
      <c r="H121" s="62" t="s">
        <v>81</v>
      </c>
      <c r="I121" s="62" t="s">
        <v>82</v>
      </c>
      <c r="J121" s="62" t="s">
        <v>92</v>
      </c>
      <c r="K121" s="62" t="s">
        <v>187</v>
      </c>
      <c r="L121" s="62" t="s">
        <v>84</v>
      </c>
      <c r="M121" s="62" t="s">
        <v>85</v>
      </c>
      <c r="N121" s="62" t="s">
        <v>43</v>
      </c>
      <c r="O121" s="62" t="s">
        <v>44</v>
      </c>
      <c r="P121" s="179" t="s">
        <v>188</v>
      </c>
      <c r="Q121" s="32" t="s">
        <v>189</v>
      </c>
      <c r="R121" s="32" t="s">
        <v>150</v>
      </c>
      <c r="S121" s="130" t="s">
        <v>190</v>
      </c>
      <c r="T121" s="130" t="s">
        <v>191</v>
      </c>
      <c r="U121" s="130" t="s">
        <v>192</v>
      </c>
      <c r="V121" s="130" t="s">
        <v>193</v>
      </c>
      <c r="W121" s="130" t="s">
        <v>194</v>
      </c>
      <c r="X121" s="130" t="s">
        <v>195</v>
      </c>
      <c r="AK121" s="140"/>
      <c r="AL121" s="140"/>
      <c r="AM121" s="140"/>
      <c r="AN121" s="140"/>
      <c r="AO121" s="140"/>
      <c r="AP121" s="140"/>
      <c r="AQ121" s="140"/>
      <c r="AR121" s="140"/>
      <c r="AS121" s="140"/>
      <c r="AT121" s="140"/>
      <c r="AU121" s="140"/>
      <c r="AV121" s="140"/>
      <c r="AW121" s="140"/>
      <c r="AX121" s="140"/>
      <c r="AY121" s="140"/>
      <c r="AZ121" s="140"/>
      <c r="BA121" s="140"/>
      <c r="BB121" s="140"/>
      <c r="BC121" s="140"/>
      <c r="BD121" s="140"/>
      <c r="BE121" s="140"/>
      <c r="BF121" s="140"/>
      <c r="BG121" s="140"/>
      <c r="BH121" s="140"/>
    </row>
    <row r="122" ht="31" customHeight="1" spans="1:60">
      <c r="A122" s="36"/>
      <c r="B122" s="144"/>
      <c r="C122" s="154"/>
      <c r="D122" s="157"/>
      <c r="E122" s="158"/>
      <c r="F122" s="162"/>
      <c r="G122" s="163"/>
      <c r="H122" s="160"/>
      <c r="I122" s="160"/>
      <c r="J122" s="160"/>
      <c r="K122" s="180"/>
      <c r="L122" s="174" t="str">
        <f>IF(B122&lt;&gt;"",R122,"")</f>
        <v/>
      </c>
      <c r="M122" s="174" t="str">
        <f>IF(B122&lt;&gt;"",SUM(S122:X122)*L122,"")</f>
        <v/>
      </c>
      <c r="N122" s="168"/>
      <c r="O122" s="181"/>
      <c r="P122" s="182" t="str">
        <f>IF(B122="国家级课题项目",40,IF(B122="省级课题项目",20,IF(B122="横向课题项目",2,IF(B122="市级课题项目",7,IF(B122="校级课题项目",5,"")))))</f>
        <v/>
      </c>
      <c r="Q122" s="181">
        <f>IF(AND(B122="横向技术项目",K122&gt;=1),INT((K122-1)*10)*0.1,0)</f>
        <v>0</v>
      </c>
      <c r="R122" s="32">
        <f>IF(H122="独立完成",1,IF(J122=1,0.8,IF(J122=2,0.2,IF(J122=3,0.1,IF(J122&gt;3,0.05,0)))))</f>
        <v>0</v>
      </c>
      <c r="S122" s="181">
        <f>IF(Q122&gt;18,18,Q122)</f>
        <v>0</v>
      </c>
      <c r="T122" s="32">
        <f>IF(B122="国家级课题项目",40,0)</f>
        <v>0</v>
      </c>
      <c r="U122" s="32">
        <f>IF(B122="省级课题项目",20,0)</f>
        <v>0</v>
      </c>
      <c r="V122" s="32">
        <f>IF(B122="市级课题项目",10,0)</f>
        <v>0</v>
      </c>
      <c r="W122" s="32">
        <f>IF(B122="校级课题项目",5,0)</f>
        <v>0</v>
      </c>
      <c r="X122" s="32">
        <f>IF(B122="横向技术项目",2,0)</f>
        <v>0</v>
      </c>
      <c r="AK122" s="140"/>
      <c r="AL122" s="140"/>
      <c r="AM122" s="140"/>
      <c r="AN122" s="140"/>
      <c r="AO122" s="140"/>
      <c r="AP122" s="140"/>
      <c r="AQ122" s="140"/>
      <c r="AR122" s="140"/>
      <c r="AS122" s="140"/>
      <c r="AT122" s="140"/>
      <c r="AU122" s="140"/>
      <c r="AV122" s="140"/>
      <c r="AW122" s="140"/>
      <c r="AX122" s="140"/>
      <c r="AY122" s="140"/>
      <c r="AZ122" s="140"/>
      <c r="BA122" s="140"/>
      <c r="BB122" s="140"/>
      <c r="BC122" s="140"/>
      <c r="BD122" s="140"/>
      <c r="BE122" s="140"/>
      <c r="BF122" s="140"/>
      <c r="BG122" s="140"/>
      <c r="BH122" s="140"/>
    </row>
    <row r="123" ht="31" customHeight="1" spans="1:60">
      <c r="A123" s="36"/>
      <c r="B123" s="144"/>
      <c r="C123" s="154"/>
      <c r="D123" s="157"/>
      <c r="E123" s="158"/>
      <c r="F123" s="162"/>
      <c r="G123" s="163"/>
      <c r="H123" s="160"/>
      <c r="I123" s="160"/>
      <c r="J123" s="160"/>
      <c r="K123" s="180"/>
      <c r="L123" s="174" t="str">
        <f>IF(B123&lt;&gt;"",R123,"")</f>
        <v/>
      </c>
      <c r="M123" s="174" t="str">
        <f>IF(B123&lt;&gt;"",SUM(S123:X123)*L123,"")</f>
        <v/>
      </c>
      <c r="N123" s="168"/>
      <c r="O123" s="181"/>
      <c r="P123" s="182" t="str">
        <f>IF(B123="国家级课题项目",40,IF(B123="省级课题项目",20,IF(B123="横向课题项目",2,IF(B123="市级课题项目",7,IF(B123="校级课题项目",5,"")))))</f>
        <v/>
      </c>
      <c r="Q123" s="181">
        <f>IF(AND(B123="横向技术项目",K123&gt;=1),INT((K123-1)*10)*0.1,0)</f>
        <v>0</v>
      </c>
      <c r="R123" s="32">
        <f>IF(H123="独立完成",1,IF(J123=1,0.8,IF(J123=2,0.2,IF(J123=3,0.1,IF(J123&gt;3,0.05,0)))))</f>
        <v>0</v>
      </c>
      <c r="S123" s="181">
        <f>IF(Q123&gt;18,18,Q123)</f>
        <v>0</v>
      </c>
      <c r="T123" s="32">
        <f>IF(B123="国家级课题项目",40,0)</f>
        <v>0</v>
      </c>
      <c r="U123" s="32">
        <f>IF(B123="省级课题项目",20,0)</f>
        <v>0</v>
      </c>
      <c r="V123" s="32">
        <f>IF(B123="市级课题项目",10,0)</f>
        <v>0</v>
      </c>
      <c r="W123" s="32">
        <f>IF(B123="校级课题项目",5,0)</f>
        <v>0</v>
      </c>
      <c r="X123" s="32">
        <f>IF(B123="横向技术项目",2,0)</f>
        <v>0</v>
      </c>
      <c r="AK123" s="140"/>
      <c r="AL123" s="140"/>
      <c r="AM123" s="140"/>
      <c r="AN123" s="140"/>
      <c r="AO123" s="140"/>
      <c r="AP123" s="140"/>
      <c r="AQ123" s="140"/>
      <c r="AR123" s="140"/>
      <c r="AS123" s="140"/>
      <c r="AT123" s="140"/>
      <c r="AU123" s="140"/>
      <c r="AV123" s="140"/>
      <c r="AW123" s="140"/>
      <c r="AX123" s="140"/>
      <c r="AY123" s="140"/>
      <c r="AZ123" s="140"/>
      <c r="BA123" s="140"/>
      <c r="BB123" s="140"/>
      <c r="BC123" s="140"/>
      <c r="BD123" s="140"/>
      <c r="BE123" s="140"/>
      <c r="BF123" s="140"/>
      <c r="BG123" s="140"/>
      <c r="BH123" s="140"/>
    </row>
    <row r="124" ht="31" customHeight="1" spans="1:60">
      <c r="A124" s="36"/>
      <c r="B124" s="146" t="s">
        <v>89</v>
      </c>
      <c r="C124" s="147"/>
      <c r="D124" s="147"/>
      <c r="E124" s="147"/>
      <c r="F124" s="147"/>
      <c r="G124" s="147"/>
      <c r="H124" s="147"/>
      <c r="I124" s="147"/>
      <c r="J124" s="147"/>
      <c r="K124" s="147"/>
      <c r="L124" s="169"/>
      <c r="M124" s="174">
        <f>IF(M122&lt;&gt;"",SUM(M122:M123),0)</f>
        <v>0</v>
      </c>
      <c r="N124" s="171"/>
      <c r="O124" s="171"/>
      <c r="AK124" s="140"/>
      <c r="AL124" s="140"/>
      <c r="AM124" s="140"/>
      <c r="AN124" s="140"/>
      <c r="AO124" s="140"/>
      <c r="AP124" s="140"/>
      <c r="AQ124" s="140"/>
      <c r="AR124" s="140"/>
      <c r="AS124" s="140"/>
      <c r="AT124" s="140"/>
      <c r="AU124" s="140"/>
      <c r="AV124" s="140"/>
      <c r="AW124" s="140"/>
      <c r="AX124" s="140"/>
      <c r="AY124" s="140"/>
      <c r="AZ124" s="140"/>
      <c r="BA124" s="140"/>
      <c r="BB124" s="140"/>
      <c r="BC124" s="140"/>
      <c r="BD124" s="140"/>
      <c r="BE124" s="140"/>
      <c r="BF124" s="140"/>
      <c r="BG124" s="140"/>
      <c r="BH124" s="140"/>
    </row>
    <row r="125" ht="31" customHeight="1" spans="1:60">
      <c r="A125" s="36"/>
      <c r="B125" s="148" t="s">
        <v>200</v>
      </c>
      <c r="C125" s="148"/>
      <c r="D125" s="148"/>
      <c r="E125" s="148"/>
      <c r="F125" s="148"/>
      <c r="G125" s="148"/>
      <c r="H125" s="148"/>
      <c r="I125" s="148"/>
      <c r="J125" s="148"/>
      <c r="K125" s="148"/>
      <c r="L125" s="148"/>
      <c r="M125" s="148"/>
      <c r="N125" s="148"/>
      <c r="O125" s="148"/>
      <c r="AK125" s="140"/>
      <c r="AL125" s="140"/>
      <c r="AM125" s="140"/>
      <c r="AN125" s="140"/>
      <c r="AO125" s="140"/>
      <c r="AP125" s="140"/>
      <c r="AQ125" s="140"/>
      <c r="AR125" s="140"/>
      <c r="AS125" s="140"/>
      <c r="AT125" s="140"/>
      <c r="AU125" s="140"/>
      <c r="AV125" s="140"/>
      <c r="AW125" s="140"/>
      <c r="AX125" s="140"/>
      <c r="AY125" s="140"/>
      <c r="AZ125" s="140"/>
      <c r="BA125" s="140"/>
      <c r="BB125" s="140"/>
      <c r="BC125" s="140"/>
      <c r="BD125" s="140"/>
      <c r="BE125" s="140"/>
      <c r="BF125" s="140"/>
      <c r="BG125" s="140"/>
      <c r="BH125" s="140"/>
    </row>
    <row r="126" ht="31" customHeight="1" spans="1:60">
      <c r="A126" s="36"/>
      <c r="B126" s="62" t="s">
        <v>201</v>
      </c>
      <c r="C126" s="62" t="s">
        <v>100</v>
      </c>
      <c r="D126" s="62" t="s">
        <v>79</v>
      </c>
      <c r="E126" s="62"/>
      <c r="F126" s="62"/>
      <c r="G126" s="62" t="s">
        <v>202</v>
      </c>
      <c r="H126" s="62"/>
      <c r="I126" s="62" t="s">
        <v>81</v>
      </c>
      <c r="J126" s="62" t="s">
        <v>82</v>
      </c>
      <c r="K126" s="62" t="s">
        <v>92</v>
      </c>
      <c r="L126" s="171" t="s">
        <v>84</v>
      </c>
      <c r="M126" s="62" t="s">
        <v>85</v>
      </c>
      <c r="N126" s="62" t="s">
        <v>43</v>
      </c>
      <c r="O126" s="62" t="s">
        <v>44</v>
      </c>
      <c r="P126" s="130" t="s">
        <v>150</v>
      </c>
      <c r="Q126" s="130" t="s">
        <v>127</v>
      </c>
      <c r="R126" s="130" t="s">
        <v>128</v>
      </c>
      <c r="S126" s="130" t="s">
        <v>125</v>
      </c>
      <c r="T126" s="130" t="s">
        <v>203</v>
      </c>
      <c r="U126" s="130" t="s">
        <v>126</v>
      </c>
      <c r="V126" s="132" t="s">
        <v>204</v>
      </c>
      <c r="W126" s="133"/>
      <c r="X126" s="132" t="s">
        <v>205</v>
      </c>
      <c r="Y126" s="133"/>
      <c r="Z126" s="190" t="s">
        <v>119</v>
      </c>
      <c r="AK126" s="140"/>
      <c r="AL126" s="140"/>
      <c r="AM126" s="140"/>
      <c r="AN126" s="140"/>
      <c r="AO126" s="140"/>
      <c r="AP126" s="140"/>
      <c r="AQ126" s="140"/>
      <c r="AR126" s="140"/>
      <c r="AS126" s="140"/>
      <c r="AT126" s="140"/>
      <c r="AU126" s="140"/>
      <c r="AV126" s="140"/>
      <c r="AW126" s="140"/>
      <c r="AX126" s="140"/>
      <c r="AY126" s="140"/>
      <c r="AZ126" s="140"/>
      <c r="BA126" s="140"/>
      <c r="BB126" s="140"/>
      <c r="BC126" s="140"/>
      <c r="BD126" s="140"/>
      <c r="BE126" s="140"/>
      <c r="BF126" s="140"/>
      <c r="BG126" s="140"/>
      <c r="BH126" s="140"/>
    </row>
    <row r="127" ht="31" customHeight="1" spans="1:60">
      <c r="A127" s="36"/>
      <c r="B127" s="144"/>
      <c r="C127" s="144"/>
      <c r="D127" s="145"/>
      <c r="E127" s="145"/>
      <c r="F127" s="145"/>
      <c r="G127" s="144"/>
      <c r="H127" s="144"/>
      <c r="I127" s="145"/>
      <c r="J127" s="184"/>
      <c r="K127" s="166"/>
      <c r="L127" s="174" t="str">
        <f>IF(B127&lt;&gt;"",P127,"")</f>
        <v/>
      </c>
      <c r="M127" s="174" t="str">
        <f>IF(B127&lt;&gt;"",SUM(Q127:U127)*L127,"")</f>
        <v/>
      </c>
      <c r="N127" s="32"/>
      <c r="O127" s="32"/>
      <c r="P127" s="32">
        <f>IF(I127="独立完成",1,IF(K127=1,0.6,IF(K127=2,0.4,IF(K127=3,0.2,IF(K127=4,0.1,IF(K127&gt;4,0.05,0))))))</f>
        <v>0</v>
      </c>
      <c r="Q127" s="32">
        <f>IF(AND(OR(B127="市级成果奖",B127="市级教学奖"),C127="一等奖"),12,IF(AND(OR(B127="市级成果奖",B127="市级教学奖"),C127="二等奖"),10,IF(AND(OR(B127="市级成果奖",B127="市级教学奖"),OR(C127="三等奖",C127="无等级")),8,0)))</f>
        <v>0</v>
      </c>
      <c r="R127" s="32">
        <f>IF(AND(OR(B127="校级成果奖",B127="校级教学奖"),C127="一等奖"),6,IF(AND(OR(B127="校级成果奖",B127="校级教学奖"),C127="二等奖"),4,IF(AND(OR(B127="校级成果奖",B127="校级教学奖"),OR(C127="三等奖",C127="无等级")),2,0)))</f>
        <v>0</v>
      </c>
      <c r="S127" s="32">
        <f>IF(AND(OR(B127="国家级成果奖",B127="国家级教学奖"),C127="一等奖"),100,IF(AND(OR(B127="国家级成果奖",B127="国家级教学奖"),C127="二等奖"),80,IF(AND(OR(B127="国家级成果奖",B127="国家级教学奖"),OR(C127="三等奖",C127="无等级")),60,0)))</f>
        <v>0</v>
      </c>
      <c r="T127" s="32">
        <f>IF(AND(OR(B127="国家开放大学成果奖",B127="国家开放大学教学奖"),C127="一等奖"),30,IF(AND(OR(B127="国家开放大学成果奖",B127="国家开放大学教学奖"),C127="二等奖"),24,IF(AND(OR(B127="国家开放大学成果奖",B127="国家开放大学教学奖"),OR(C127="三等奖",C127="无等级")),18,0)))</f>
        <v>0</v>
      </c>
      <c r="U127" s="32">
        <f>IF(AND(OR(B127="省级成果奖",B127="省级教学奖"),C127="一等奖"),30,IF(AND(OR(B127="省级成果奖",B127="省级教学奖"),C127="二等奖"),24,IF(AND(OR(B127="省级成果奖",B127="省级教学奖"),OR(C127="三等奖",C127="无等级")),18,0)))</f>
        <v>0</v>
      </c>
      <c r="V127" s="134">
        <f>IF(AND(OR(B127="省级成果奖",B127="国家级成果奖",B127="国家开放大学成果奖",B127="市级成果奖"),OR(C127="一等奖",C127="二等奖",C127="三等奖",C127="无等级"),OR(I127="独立完成",K127=1)),1,0)</f>
        <v>0</v>
      </c>
      <c r="W127" s="135"/>
      <c r="X127" s="134">
        <f>IF(AND(OR(B127="省级成果奖",B127="国家级成果奖",B127="国家开放大学成果奖",B127="市级成果奖"),AND(K127&lt;&gt;"",K127&lt;&gt;1,K127&lt;4)),1,0)</f>
        <v>0</v>
      </c>
      <c r="Y127" s="135"/>
      <c r="Z127" s="117" t="str">
        <f>IF(OR(SUM(V127:W128)&gt;0,SUM(X127:Y128)&gt;1),"满足","不满足")</f>
        <v>不满足</v>
      </c>
      <c r="AK127" s="140"/>
      <c r="AL127" s="140"/>
      <c r="AM127" s="140"/>
      <c r="AN127" s="140"/>
      <c r="AO127" s="140"/>
      <c r="AP127" s="140"/>
      <c r="AQ127" s="140"/>
      <c r="AR127" s="140"/>
      <c r="AS127" s="140"/>
      <c r="AT127" s="140"/>
      <c r="AU127" s="140"/>
      <c r="AV127" s="140"/>
      <c r="AW127" s="140"/>
      <c r="AX127" s="140"/>
      <c r="AY127" s="140"/>
      <c r="AZ127" s="140"/>
      <c r="BA127" s="140"/>
      <c r="BB127" s="140"/>
      <c r="BC127" s="140"/>
      <c r="BD127" s="140"/>
      <c r="BE127" s="140"/>
      <c r="BF127" s="140"/>
      <c r="BG127" s="140"/>
      <c r="BH127" s="140"/>
    </row>
    <row r="128" ht="31" customHeight="1" spans="1:60">
      <c r="A128" s="36"/>
      <c r="B128" s="144"/>
      <c r="C128" s="144"/>
      <c r="D128" s="145"/>
      <c r="E128" s="145"/>
      <c r="F128" s="145"/>
      <c r="G128" s="144"/>
      <c r="H128" s="164"/>
      <c r="I128" s="145"/>
      <c r="J128" s="184"/>
      <c r="K128" s="166"/>
      <c r="L128" s="174" t="str">
        <f>IF(B128&lt;&gt;"",P128,"")</f>
        <v/>
      </c>
      <c r="M128" s="174" t="str">
        <f>IF(B128&lt;&gt;"",SUM(Q128:U128)*L128,"")</f>
        <v/>
      </c>
      <c r="N128" s="32"/>
      <c r="O128" s="32"/>
      <c r="P128" s="32">
        <f>IF(I128="独立完成",1,IF(K128=1,0.6,IF(K128=2,0.4,IF(K128=3,0.2,IF(K128=4,0.1,IF(K128&gt;4,0.05,0))))))</f>
        <v>0</v>
      </c>
      <c r="Q128" s="32">
        <f>IF(AND(OR(B128="市级成果奖",B128="市级教学奖"),C128="一等奖"),12,IF(AND(OR(B128="市级成果奖",B128="市级教学奖"),C128="二等奖"),10,IF(AND(OR(B128="市级成果奖",B128="市级教学奖"),OR(C128="三等奖",C128="无等级")),8,0)))</f>
        <v>0</v>
      </c>
      <c r="R128" s="32">
        <f>IF(AND(OR(B128="校级成果奖",B128="校级教学奖"),C128="一等奖"),6,IF(AND(OR(B128="校级成果奖",B128="校级教学奖"),C128="二等奖"),4,IF(AND(OR(B128="校级成果奖",B128="校级教学奖"),OR(C128="三等奖",C128="无等级")),2,0)))</f>
        <v>0</v>
      </c>
      <c r="S128" s="32">
        <f>IF(AND(OR(B128="国家级成果奖",B128="国家级教学奖"),C128="一等奖"),100,IF(AND(OR(B128="国家级成果奖",B128="国家级教学奖"),C128="二等奖"),80,IF(AND(OR(B128="国家级成果奖",B128="国家级教学奖"),OR(C128="三等奖",C128="无等级")),60,0)))</f>
        <v>0</v>
      </c>
      <c r="T128" s="32">
        <f>IF(AND(OR(B128="国家开放大学成果奖",B128="国家开放大学教学奖"),C128="一等奖"),30,IF(AND(OR(B128="国家开放大学成果奖",B128="国家开放大学教学奖"),C128="二等奖"),24,IF(AND(OR(B128="国家开放大学成果奖",B128="国家开放大学教学奖"),OR(C128="三等奖",C128="无等级")),18,0)))</f>
        <v>0</v>
      </c>
      <c r="U128" s="32">
        <f>IF(AND(OR(B128="省级成果奖",B128="省级教学奖"),C128="一等奖"),30,IF(AND(OR(B128="省级成果奖",B128="省级教学奖"),C128="二等奖"),24,IF(AND(OR(B128="省级成果奖",B128="省级教学奖"),OR(C128="三等奖",C128="无等级")),18,0)))</f>
        <v>0</v>
      </c>
      <c r="V128" s="134">
        <f>IF(AND(OR(B128="省级成果奖",B128="国家级成果奖",B128="国家开放大学成果奖",B128="市级成果奖"),OR(C128="一等奖",C128="二等奖",C128="三等奖",C128="无等级"),OR(I128="独立完成",K128=1)),1,0)</f>
        <v>0</v>
      </c>
      <c r="W128" s="135"/>
      <c r="X128" s="134">
        <f>IF(AND(OR(B128="省级成果奖",B128="国家级成果奖",B128="国家开放大学成果奖",B128="市级成果奖"),AND(K128&lt;&gt;"",K128&lt;&gt;1,K128&lt;4)),1,0)</f>
        <v>0</v>
      </c>
      <c r="Y128" s="135"/>
      <c r="AK128" s="140"/>
      <c r="AL128" s="140"/>
      <c r="AM128" s="140"/>
      <c r="AN128" s="140"/>
      <c r="AO128" s="140"/>
      <c r="AP128" s="140"/>
      <c r="AQ128" s="140"/>
      <c r="AR128" s="140"/>
      <c r="AS128" s="140"/>
      <c r="AT128" s="140"/>
      <c r="AU128" s="140"/>
      <c r="AV128" s="140"/>
      <c r="AW128" s="140"/>
      <c r="AX128" s="140"/>
      <c r="AY128" s="140"/>
      <c r="AZ128" s="140"/>
      <c r="BA128" s="140"/>
      <c r="BB128" s="140"/>
      <c r="BC128" s="140"/>
      <c r="BD128" s="140"/>
      <c r="BE128" s="140"/>
      <c r="BF128" s="140"/>
      <c r="BG128" s="140"/>
      <c r="BH128" s="140"/>
    </row>
    <row r="129" ht="31" customHeight="1" spans="1:60">
      <c r="A129" s="36"/>
      <c r="B129" s="146" t="s">
        <v>89</v>
      </c>
      <c r="C129" s="147"/>
      <c r="D129" s="147"/>
      <c r="E129" s="147"/>
      <c r="F129" s="147"/>
      <c r="G129" s="147"/>
      <c r="H129" s="147"/>
      <c r="I129" s="147"/>
      <c r="J129" s="147"/>
      <c r="K129" s="147"/>
      <c r="L129" s="169"/>
      <c r="M129" s="174">
        <f>IF(M127&lt;&gt;"",SUM(M127:M128),0)</f>
        <v>0</v>
      </c>
      <c r="N129" s="171"/>
      <c r="O129" s="171"/>
      <c r="AK129" s="140"/>
      <c r="AL129" s="140"/>
      <c r="AM129" s="140"/>
      <c r="AN129" s="140"/>
      <c r="AO129" s="140"/>
      <c r="AP129" s="140"/>
      <c r="AQ129" s="140"/>
      <c r="AR129" s="140"/>
      <c r="AS129" s="140"/>
      <c r="AT129" s="140"/>
      <c r="AU129" s="140"/>
      <c r="AV129" s="140"/>
      <c r="AW129" s="140"/>
      <c r="AX129" s="140"/>
      <c r="AY129" s="140"/>
      <c r="AZ129" s="140"/>
      <c r="BA129" s="140"/>
      <c r="BB129" s="140"/>
      <c r="BC129" s="140"/>
      <c r="BD129" s="140"/>
      <c r="BE129" s="140"/>
      <c r="BF129" s="140"/>
      <c r="BG129" s="140"/>
      <c r="BH129" s="140"/>
    </row>
    <row r="130" ht="28" customHeight="1" spans="1:60">
      <c r="A130" s="36"/>
      <c r="B130" s="201" t="s">
        <v>206</v>
      </c>
      <c r="C130" s="201"/>
      <c r="D130" s="201"/>
      <c r="E130" s="201"/>
      <c r="F130" s="201"/>
      <c r="G130" s="201"/>
      <c r="H130" s="201"/>
      <c r="I130" s="201"/>
      <c r="J130" s="201"/>
      <c r="K130" s="201"/>
      <c r="L130" s="201"/>
      <c r="M130" s="201"/>
      <c r="N130" s="201"/>
      <c r="O130" s="201"/>
      <c r="AK130" s="33"/>
      <c r="AL130" s="33"/>
      <c r="AM130" s="33"/>
      <c r="AN130" s="33"/>
      <c r="AO130" s="33"/>
      <c r="AP130" s="140"/>
      <c r="AQ130" s="140"/>
      <c r="AR130" s="140"/>
      <c r="AS130" s="140"/>
      <c r="AT130" s="140"/>
      <c r="AU130" s="140"/>
      <c r="AV130" s="140"/>
      <c r="AW130" s="140"/>
      <c r="AX130" s="140"/>
      <c r="AY130" s="140"/>
      <c r="AZ130" s="140"/>
      <c r="BA130" s="140"/>
      <c r="BB130" s="140"/>
      <c r="BC130" s="140"/>
      <c r="BD130" s="140"/>
      <c r="BE130" s="140"/>
      <c r="BF130" s="140"/>
      <c r="BG130" s="140"/>
      <c r="BH130" s="140"/>
    </row>
    <row r="131" ht="28" customHeight="1" spans="1:60">
      <c r="A131" s="36"/>
      <c r="B131" s="62" t="s">
        <v>58</v>
      </c>
      <c r="C131" s="62" t="s">
        <v>207</v>
      </c>
      <c r="D131" s="62"/>
      <c r="E131" s="97" t="s">
        <v>122</v>
      </c>
      <c r="F131" s="113"/>
      <c r="G131" s="96"/>
      <c r="H131" s="97" t="s">
        <v>208</v>
      </c>
      <c r="I131" s="96"/>
      <c r="J131" s="68" t="s">
        <v>209</v>
      </c>
      <c r="K131" s="176" t="s">
        <v>210</v>
      </c>
      <c r="L131" s="62" t="s">
        <v>84</v>
      </c>
      <c r="M131" s="62" t="s">
        <v>85</v>
      </c>
      <c r="N131" s="62" t="s">
        <v>43</v>
      </c>
      <c r="O131" s="62" t="s">
        <v>44</v>
      </c>
      <c r="P131" s="130" t="s">
        <v>211</v>
      </c>
      <c r="Q131" s="130" t="s">
        <v>212</v>
      </c>
      <c r="R131" s="132" t="s">
        <v>213</v>
      </c>
      <c r="S131" s="133"/>
      <c r="T131" s="132" t="s">
        <v>119</v>
      </c>
      <c r="U131" s="133"/>
      <c r="V131" s="130"/>
      <c r="W131" s="130"/>
      <c r="X131" s="130"/>
      <c r="Y131" s="130"/>
      <c r="Z131" s="130"/>
      <c r="AA131" s="130"/>
      <c r="AB131" s="130"/>
      <c r="AC131" s="130"/>
      <c r="AD131" s="130"/>
      <c r="AE131" s="130"/>
      <c r="AF131" s="130"/>
      <c r="AG131" s="130"/>
      <c r="AH131" s="130"/>
      <c r="AI131" s="130"/>
      <c r="AJ131" s="185"/>
      <c r="AK131" s="33"/>
      <c r="AL131" s="33"/>
      <c r="AM131" s="33"/>
      <c r="AN131" s="33"/>
      <c r="AO131" s="33"/>
      <c r="AP131" s="140"/>
      <c r="AQ131" s="140"/>
      <c r="AR131" s="140"/>
      <c r="AS131" s="140"/>
      <c r="AT131" s="140"/>
      <c r="AU131" s="140"/>
      <c r="AV131" s="140"/>
      <c r="AW131" s="140"/>
      <c r="AX131" s="140"/>
      <c r="AY131" s="140"/>
      <c r="AZ131" s="140"/>
      <c r="BA131" s="140"/>
      <c r="BB131" s="140"/>
      <c r="BC131" s="140"/>
      <c r="BD131" s="140"/>
      <c r="BE131" s="140"/>
      <c r="BF131" s="140"/>
      <c r="BG131" s="140"/>
      <c r="BH131" s="140"/>
    </row>
    <row r="132" ht="28" customHeight="1" spans="1:60">
      <c r="A132" s="36"/>
      <c r="B132" s="144"/>
      <c r="C132" s="144"/>
      <c r="D132" s="144"/>
      <c r="E132" s="153"/>
      <c r="F132" s="151"/>
      <c r="G132" s="152"/>
      <c r="H132" s="154"/>
      <c r="I132" s="158"/>
      <c r="J132" s="178"/>
      <c r="K132" s="178"/>
      <c r="L132" s="167" t="str">
        <f>IF(B132&lt;&gt;"",1,"")</f>
        <v/>
      </c>
      <c r="M132" s="167" t="str">
        <f>IF(B132&lt;&gt;"",SUM(P132:Q132)*L132,"")</f>
        <v/>
      </c>
      <c r="N132" s="168"/>
      <c r="O132" s="168"/>
      <c r="P132" s="32">
        <f>IF(OR(H132="辽宁省教育厅",H132="辽宁高校党建",H132="辽沈智慧党建",H132="其他省级以上政府部门"),3,0)</f>
        <v>0</v>
      </c>
      <c r="Q132" s="32">
        <f>IF(H132="其他新媒体平台",IF(OR(J132&gt;=10,K132&gt;=1),3,IF(OR(J132&gt;=5,K132&gt;=0.5),1,0)),0)</f>
        <v>0</v>
      </c>
      <c r="R132" s="134">
        <f>IF(AND(M132&lt;&gt;"",M132&gt;=1),1,0)</f>
        <v>0</v>
      </c>
      <c r="S132" s="135"/>
      <c r="T132" s="134" t="str">
        <f>IF(SUM(R132:S133)&gt;0,"满足","不满足")</f>
        <v>不满足</v>
      </c>
      <c r="U132" s="135"/>
      <c r="V132" s="32"/>
      <c r="W132" s="32"/>
      <c r="X132" s="181"/>
      <c r="Y132" s="181"/>
      <c r="Z132" s="32"/>
      <c r="AA132" s="32"/>
      <c r="AB132" s="32"/>
      <c r="AC132" s="32"/>
      <c r="AD132" s="32"/>
      <c r="AE132" s="32"/>
      <c r="AF132" s="32"/>
      <c r="AG132" s="32"/>
      <c r="AH132" s="181"/>
      <c r="AI132" s="181"/>
      <c r="AJ132" s="200"/>
      <c r="AK132" s="33"/>
      <c r="AL132" s="33"/>
      <c r="AM132" s="33"/>
      <c r="AN132" s="33"/>
      <c r="AO132" s="33"/>
      <c r="AP132" s="140"/>
      <c r="AQ132" s="140"/>
      <c r="AR132" s="140"/>
      <c r="AS132" s="140"/>
      <c r="AT132" s="140"/>
      <c r="AU132" s="140"/>
      <c r="AV132" s="140"/>
      <c r="AW132" s="140"/>
      <c r="AX132" s="140"/>
      <c r="AY132" s="140"/>
      <c r="AZ132" s="140"/>
      <c r="BA132" s="140"/>
      <c r="BB132" s="140"/>
      <c r="BC132" s="140"/>
      <c r="BD132" s="140"/>
      <c r="BE132" s="140"/>
      <c r="BF132" s="140"/>
      <c r="BG132" s="140"/>
      <c r="BH132" s="140"/>
    </row>
    <row r="133" ht="28" customHeight="1" spans="1:60">
      <c r="A133" s="36"/>
      <c r="B133" s="144"/>
      <c r="C133" s="144"/>
      <c r="D133" s="144"/>
      <c r="E133" s="153"/>
      <c r="F133" s="151"/>
      <c r="G133" s="152"/>
      <c r="H133" s="154"/>
      <c r="I133" s="158"/>
      <c r="J133" s="166"/>
      <c r="K133" s="166"/>
      <c r="L133" s="167" t="str">
        <f>IF(B133&lt;&gt;"",1,"")</f>
        <v/>
      </c>
      <c r="M133" s="167" t="str">
        <f>IF(B133&lt;&gt;"",SUM(P133:Q133)*L133,"")</f>
        <v/>
      </c>
      <c r="N133" s="168"/>
      <c r="O133" s="168"/>
      <c r="P133" s="32">
        <f>IF(OR(H133="辽宁省教育厅",H133="辽宁高校党建",H133="辽沈智慧党建",H133="其他省级以上政府部门"),3,0)</f>
        <v>0</v>
      </c>
      <c r="Q133" s="32">
        <f>IF(H133="其他新媒体平台",IF(OR(J133&gt;=10,K133&gt;=1),3,IF(OR(J133&gt;=5,K133&gt;=0.5),1,0)),0)</f>
        <v>0</v>
      </c>
      <c r="R133" s="134">
        <f>IF(AND(M133&lt;&gt;"",M133&gt;=1),1,0)</f>
        <v>0</v>
      </c>
      <c r="S133" s="135"/>
      <c r="T133" s="188"/>
      <c r="U133" s="189"/>
      <c r="V133" s="32"/>
      <c r="W133" s="32"/>
      <c r="X133" s="181"/>
      <c r="Y133" s="181"/>
      <c r="Z133" s="32"/>
      <c r="AA133" s="32"/>
      <c r="AB133" s="32"/>
      <c r="AC133" s="32"/>
      <c r="AD133" s="32"/>
      <c r="AE133" s="32"/>
      <c r="AF133" s="32"/>
      <c r="AG133" s="32"/>
      <c r="AH133" s="181"/>
      <c r="AI133" s="181"/>
      <c r="AJ133" s="200"/>
      <c r="AK133" s="33"/>
      <c r="AL133" s="33"/>
      <c r="AM133" s="33"/>
      <c r="AN133" s="33"/>
      <c r="AO133" s="33"/>
      <c r="AP133" s="140"/>
      <c r="AQ133" s="140"/>
      <c r="AR133" s="140"/>
      <c r="AS133" s="140"/>
      <c r="AT133" s="140"/>
      <c r="AU133" s="140"/>
      <c r="AV133" s="140"/>
      <c r="AW133" s="140"/>
      <c r="AX133" s="140"/>
      <c r="AY133" s="140"/>
      <c r="AZ133" s="140"/>
      <c r="BA133" s="140"/>
      <c r="BB133" s="140"/>
      <c r="BC133" s="140"/>
      <c r="BD133" s="140"/>
      <c r="BE133" s="140"/>
      <c r="BF133" s="140"/>
      <c r="BG133" s="140"/>
      <c r="BH133" s="140"/>
    </row>
    <row r="134" ht="28" customHeight="1" spans="1:60">
      <c r="A134" s="36"/>
      <c r="B134" s="146" t="s">
        <v>89</v>
      </c>
      <c r="C134" s="147"/>
      <c r="D134" s="147"/>
      <c r="E134" s="147"/>
      <c r="F134" s="147"/>
      <c r="G134" s="147"/>
      <c r="H134" s="147"/>
      <c r="I134" s="147"/>
      <c r="J134" s="147"/>
      <c r="K134" s="147"/>
      <c r="L134" s="169"/>
      <c r="M134" s="167">
        <f>SUM(M132:M133)</f>
        <v>0</v>
      </c>
      <c r="N134" s="170"/>
      <c r="O134" s="170"/>
      <c r="AK134" s="33"/>
      <c r="AL134" s="33"/>
      <c r="AM134" s="33"/>
      <c r="AN134" s="33"/>
      <c r="AO134" s="33"/>
      <c r="AP134" s="140"/>
      <c r="AQ134" s="140"/>
      <c r="AR134" s="140"/>
      <c r="AS134" s="140"/>
      <c r="AT134" s="140"/>
      <c r="AU134" s="140"/>
      <c r="AV134" s="140"/>
      <c r="AW134" s="140"/>
      <c r="AX134" s="140"/>
      <c r="AY134" s="140"/>
      <c r="AZ134" s="140"/>
      <c r="BA134" s="140"/>
      <c r="BB134" s="140"/>
      <c r="BC134" s="140"/>
      <c r="BD134" s="140"/>
      <c r="BE134" s="140"/>
      <c r="BF134" s="140"/>
      <c r="BG134" s="140"/>
      <c r="BH134" s="140"/>
    </row>
    <row r="135" ht="31" customHeight="1" spans="1:60">
      <c r="A135" s="36"/>
      <c r="B135" s="148" t="s">
        <v>214</v>
      </c>
      <c r="C135" s="148"/>
      <c r="D135" s="148"/>
      <c r="E135" s="148"/>
      <c r="F135" s="148"/>
      <c r="G135" s="148"/>
      <c r="H135" s="148"/>
      <c r="I135" s="148"/>
      <c r="J135" s="148"/>
      <c r="K135" s="148"/>
      <c r="L135" s="148"/>
      <c r="M135" s="148"/>
      <c r="N135" s="148"/>
      <c r="O135" s="148"/>
      <c r="AK135" s="140"/>
      <c r="AL135" s="140"/>
      <c r="AM135" s="140"/>
      <c r="AN135" s="140"/>
      <c r="AO135" s="140"/>
      <c r="AP135" s="140"/>
      <c r="AQ135" s="140"/>
      <c r="AR135" s="140"/>
      <c r="AS135" s="140"/>
      <c r="AT135" s="140"/>
      <c r="AU135" s="140"/>
      <c r="AV135" s="140"/>
      <c r="AW135" s="140"/>
      <c r="AX135" s="140"/>
      <c r="AY135" s="140"/>
      <c r="AZ135" s="140"/>
      <c r="BA135" s="140"/>
      <c r="BB135" s="140"/>
      <c r="BC135" s="140"/>
      <c r="BD135" s="140"/>
      <c r="BE135" s="140"/>
      <c r="BF135" s="140"/>
      <c r="BG135" s="140"/>
      <c r="BH135" s="140"/>
    </row>
    <row r="136" ht="31" customHeight="1" spans="1:60">
      <c r="A136" s="36"/>
      <c r="B136" s="62" t="s">
        <v>58</v>
      </c>
      <c r="C136" s="62" t="s">
        <v>77</v>
      </c>
      <c r="D136" s="62"/>
      <c r="E136" s="62" t="s">
        <v>78</v>
      </c>
      <c r="F136" s="62" t="s">
        <v>79</v>
      </c>
      <c r="G136" s="62"/>
      <c r="H136" s="143" t="s">
        <v>80</v>
      </c>
      <c r="I136" s="143" t="s">
        <v>81</v>
      </c>
      <c r="J136" s="62" t="s">
        <v>82</v>
      </c>
      <c r="K136" s="62" t="s">
        <v>92</v>
      </c>
      <c r="L136" s="62" t="s">
        <v>84</v>
      </c>
      <c r="M136" s="62" t="s">
        <v>85</v>
      </c>
      <c r="N136" s="62" t="s">
        <v>43</v>
      </c>
      <c r="O136" s="62" t="s">
        <v>44</v>
      </c>
      <c r="P136" s="130" t="s">
        <v>215</v>
      </c>
      <c r="Q136" s="130" t="s">
        <v>216</v>
      </c>
      <c r="R136" s="185" t="s">
        <v>217</v>
      </c>
      <c r="S136" s="186"/>
      <c r="T136" s="130"/>
      <c r="U136" s="130"/>
      <c r="V136" s="130"/>
      <c r="W136" s="130"/>
      <c r="X136" s="130"/>
      <c r="Y136" s="130"/>
      <c r="Z136" s="130"/>
      <c r="AA136" s="130"/>
      <c r="AB136" s="130" t="s">
        <v>133</v>
      </c>
      <c r="AC136" s="130" t="s">
        <v>134</v>
      </c>
      <c r="AK136" s="140"/>
      <c r="AL136" s="140"/>
      <c r="AM136" s="140"/>
      <c r="AN136" s="140"/>
      <c r="AO136" s="140"/>
      <c r="AP136" s="140"/>
      <c r="AQ136" s="140"/>
      <c r="AR136" s="140"/>
      <c r="AS136" s="140"/>
      <c r="AT136" s="140"/>
      <c r="AU136" s="140"/>
      <c r="AV136" s="140"/>
      <c r="AW136" s="140"/>
      <c r="AX136" s="140"/>
      <c r="AY136" s="140"/>
      <c r="AZ136" s="140"/>
      <c r="BA136" s="140"/>
      <c r="BB136" s="140"/>
      <c r="BC136" s="140"/>
      <c r="BD136" s="140"/>
      <c r="BE136" s="140"/>
      <c r="BF136" s="140"/>
      <c r="BG136" s="140"/>
      <c r="BH136" s="140"/>
    </row>
    <row r="137" ht="31" customHeight="1" spans="1:60">
      <c r="A137" s="36"/>
      <c r="B137" s="144"/>
      <c r="C137" s="144"/>
      <c r="D137" s="144"/>
      <c r="E137" s="144"/>
      <c r="F137" s="145"/>
      <c r="G137" s="145"/>
      <c r="H137" s="145"/>
      <c r="I137" s="145"/>
      <c r="J137" s="166"/>
      <c r="K137" s="166"/>
      <c r="L137" s="167" t="str">
        <f>IF(B137&lt;&gt;"",AB137+AC137,"")</f>
        <v/>
      </c>
      <c r="M137" s="167" t="str">
        <f>IF(B137&lt;&gt;"",P137*L137,"")</f>
        <v/>
      </c>
      <c r="N137" s="168"/>
      <c r="O137" s="168"/>
      <c r="P137" s="32">
        <f>IF(AND(OR(C137="教学团队",C137="科研创新团队（平台）"),E137="国家级"),40,IF(AND(OR(C137="教学团队",C137="科研创新团队（平台）"),E137="省级"),20,IF(AND(OR(C137="教学团队",C137="科研创新团队（平台）"),E137="市级"),10,IF(AND(OR(C137="教学团队",C137="科研创新团队（平台）"),E137="校级"),5,0))))</f>
        <v>0</v>
      </c>
      <c r="Q137" s="32">
        <f>IF(OR(I137="独立完成",K137=1),1,0)</f>
        <v>0</v>
      </c>
      <c r="R137" s="188">
        <f>IF(AND(NOT(E137="校级"),AND(K137&lt;&gt;"",K137&lt;&gt;1,K137&lt;4)),1,0)</f>
        <v>0</v>
      </c>
      <c r="S137" s="189"/>
      <c r="T137" s="32"/>
      <c r="U137" s="32"/>
      <c r="V137" s="32"/>
      <c r="W137" s="32"/>
      <c r="X137" s="181"/>
      <c r="Y137" s="181"/>
      <c r="Z137" s="181"/>
      <c r="AA137" s="168"/>
      <c r="AB137" s="168">
        <f>IF(B137="团队建设",IF(I137="独立完成",1,IF(K137=1,0.6,IF(AND(J137=2,K137=2),0.4,IF(AND(J137&gt;2,K137=2),0.3,IF(AND(J137&gt;2,K137=3),0.2,IF(AND(J137&gt;2,K137&gt;3),0.1)))))),0)</f>
        <v>0</v>
      </c>
      <c r="AC137" s="168">
        <f>IF(NOT(B137="团队建设"),IF(I137="独立完成",1,IF(K137=1,0.5,IF(AND(J137=2,K137=2),0.5,IF(AND(J137&gt;2,K137=2),0.3,IF(AND(J137&gt;2,K137=3),0.2,IF(AND(J137&gt;2,K137&gt;3),0.1,0)))))),0)</f>
        <v>0</v>
      </c>
      <c r="AD137" s="168"/>
      <c r="AE137" s="168"/>
      <c r="AK137" s="140"/>
      <c r="AL137" s="140"/>
      <c r="AM137" s="140"/>
      <c r="AN137" s="140"/>
      <c r="AO137" s="140"/>
      <c r="AP137" s="140"/>
      <c r="AQ137" s="140"/>
      <c r="AR137" s="140"/>
      <c r="AS137" s="140"/>
      <c r="AT137" s="140"/>
      <c r="AU137" s="140"/>
      <c r="AV137" s="140"/>
      <c r="AW137" s="140"/>
      <c r="AX137" s="140"/>
      <c r="AY137" s="140"/>
      <c r="AZ137" s="140"/>
      <c r="BA137" s="140"/>
      <c r="BB137" s="140"/>
      <c r="BC137" s="140"/>
      <c r="BD137" s="140"/>
      <c r="BE137" s="140"/>
      <c r="BF137" s="140"/>
      <c r="BG137" s="140"/>
      <c r="BH137" s="140"/>
    </row>
    <row r="138" ht="31" customHeight="1" spans="1:60">
      <c r="A138" s="36"/>
      <c r="B138" s="144"/>
      <c r="C138" s="144"/>
      <c r="D138" s="144"/>
      <c r="E138" s="144"/>
      <c r="F138" s="145"/>
      <c r="G138" s="145"/>
      <c r="H138" s="145"/>
      <c r="I138" s="145"/>
      <c r="J138" s="166"/>
      <c r="K138" s="166"/>
      <c r="L138" s="167" t="str">
        <f>IF(B138&lt;&gt;"",AB138+AC138,"")</f>
        <v/>
      </c>
      <c r="M138" s="167" t="str">
        <f>IF(B138&lt;&gt;"",P138*L138,"")</f>
        <v/>
      </c>
      <c r="N138" s="168"/>
      <c r="O138" s="168"/>
      <c r="P138" s="32">
        <f>IF(AND(OR(C138="教学团队",C138="科研创新团队（平台）"),E138="国家级"),40,IF(AND(OR(C138="教学团队",C138="科研创新团队（平台）"),E138="省级"),20,IF(AND(OR(C138="教学团队",C138="科研创新团队（平台）"),E138="市级"),10,IF(AND(OR(C138="教学团队",C138="科研创新团队（平台）"),E138="校级"),5,0))))</f>
        <v>0</v>
      </c>
      <c r="Q138" s="32">
        <f>IF(OR(I138="独立完成",K138=1),1,0)</f>
        <v>0</v>
      </c>
      <c r="R138" s="188">
        <f>IF(AND(NOT(E138="校级"),AND(K138&lt;&gt;"",K138&lt;&gt;1,K138&lt;4)),1,0)</f>
        <v>0</v>
      </c>
      <c r="S138" s="189"/>
      <c r="T138" s="32"/>
      <c r="U138" s="32"/>
      <c r="V138" s="32"/>
      <c r="W138" s="32"/>
      <c r="X138" s="181"/>
      <c r="Y138" s="181"/>
      <c r="Z138" s="181"/>
      <c r="AA138" s="168"/>
      <c r="AB138" s="168">
        <f>IF(B138="团队建设",IF(I138="独立完成",1,IF(K138=1,0.6,IF(AND(J138=2,K138=2),0.4,IF(AND(J138&gt;2,K138=2),0.3,IF(AND(J138&gt;2,K138=3),0.2,IF(AND(J138&gt;2,K138&gt;3),0.1)))))),0)</f>
        <v>0</v>
      </c>
      <c r="AC138" s="168">
        <f>IF(NOT(B138="团队建设"),IF(I138="独立完成",1,IF(K138=1,0.5,IF(AND(J138=2,K138=2),0.5,IF(AND(J138&gt;2,K138=2),0.3,IF(AND(J138&gt;2,K138=3),0.2,IF(AND(J138&gt;2,K138&gt;3),0.1,0)))))),0)</f>
        <v>0</v>
      </c>
      <c r="AD138" s="168"/>
      <c r="AE138" s="168"/>
      <c r="AK138" s="140"/>
      <c r="AL138" s="140"/>
      <c r="AM138" s="140"/>
      <c r="AN138" s="140"/>
      <c r="AO138" s="140"/>
      <c r="AP138" s="140"/>
      <c r="AQ138" s="140"/>
      <c r="AR138" s="140"/>
      <c r="AS138" s="140"/>
      <c r="AT138" s="140"/>
      <c r="AU138" s="140"/>
      <c r="AV138" s="140"/>
      <c r="AW138" s="140"/>
      <c r="AX138" s="140"/>
      <c r="AY138" s="140"/>
      <c r="AZ138" s="140"/>
      <c r="BA138" s="140"/>
      <c r="BB138" s="140"/>
      <c r="BC138" s="140"/>
      <c r="BD138" s="140"/>
      <c r="BE138" s="140"/>
      <c r="BF138" s="140"/>
      <c r="BG138" s="140"/>
      <c r="BH138" s="140"/>
    </row>
    <row r="139" ht="31" customHeight="1" spans="1:60">
      <c r="A139" s="36"/>
      <c r="B139" s="146"/>
      <c r="C139" s="147"/>
      <c r="D139" s="147"/>
      <c r="E139" s="147"/>
      <c r="F139" s="147"/>
      <c r="G139" s="147"/>
      <c r="H139" s="147"/>
      <c r="I139" s="147"/>
      <c r="J139" s="147"/>
      <c r="K139" s="147"/>
      <c r="L139" s="169"/>
      <c r="M139" s="167">
        <f>IF(M137&lt;&gt;"",SUM(M137:M138),0)</f>
        <v>0</v>
      </c>
      <c r="N139" s="170"/>
      <c r="O139" s="170"/>
      <c r="Q139" s="32"/>
      <c r="AB139" s="168"/>
      <c r="AK139" s="140"/>
      <c r="AL139" s="140"/>
      <c r="AM139" s="140"/>
      <c r="AN139" s="140"/>
      <c r="AO139" s="140"/>
      <c r="AP139" s="140"/>
      <c r="AQ139" s="140"/>
      <c r="AR139" s="140"/>
      <c r="AS139" s="140"/>
      <c r="AT139" s="140"/>
      <c r="AU139" s="140"/>
      <c r="AV139" s="140"/>
      <c r="AW139" s="140"/>
      <c r="AX139" s="140"/>
      <c r="AY139" s="140"/>
      <c r="AZ139" s="140"/>
      <c r="BA139" s="140"/>
      <c r="BB139" s="140"/>
      <c r="BC139" s="140"/>
      <c r="BD139" s="140"/>
      <c r="BE139" s="140"/>
      <c r="BF139" s="140"/>
      <c r="BG139" s="140"/>
      <c r="BH139" s="140"/>
    </row>
    <row r="140" ht="31" customHeight="1" spans="1:60">
      <c r="A140" s="36"/>
      <c r="B140" s="148" t="s">
        <v>218</v>
      </c>
      <c r="C140" s="148"/>
      <c r="D140" s="148"/>
      <c r="E140" s="148"/>
      <c r="F140" s="148"/>
      <c r="G140" s="148"/>
      <c r="H140" s="148"/>
      <c r="I140" s="148"/>
      <c r="J140" s="148"/>
      <c r="K140" s="148"/>
      <c r="L140" s="148"/>
      <c r="M140" s="148"/>
      <c r="N140" s="148"/>
      <c r="O140" s="148"/>
      <c r="AK140" s="140"/>
      <c r="AL140" s="140"/>
      <c r="AM140" s="140"/>
      <c r="AN140" s="140"/>
      <c r="AO140" s="140"/>
      <c r="AP140" s="140"/>
      <c r="AQ140" s="140"/>
      <c r="AR140" s="140"/>
      <c r="AS140" s="140"/>
      <c r="AT140" s="140"/>
      <c r="AU140" s="140"/>
      <c r="AV140" s="140"/>
      <c r="AW140" s="140"/>
      <c r="AX140" s="140"/>
      <c r="AY140" s="140"/>
      <c r="AZ140" s="140"/>
      <c r="BA140" s="140"/>
      <c r="BB140" s="140"/>
      <c r="BC140" s="140"/>
      <c r="BD140" s="140"/>
      <c r="BE140" s="140"/>
      <c r="BF140" s="140"/>
      <c r="BG140" s="140"/>
      <c r="BH140" s="140"/>
    </row>
    <row r="141" ht="31" customHeight="1" spans="1:60">
      <c r="A141" s="36"/>
      <c r="B141" s="155" t="s">
        <v>219</v>
      </c>
      <c r="C141" s="155" t="s">
        <v>79</v>
      </c>
      <c r="D141" s="202"/>
      <c r="E141" s="202"/>
      <c r="F141" s="203"/>
      <c r="G141" s="204" t="s">
        <v>220</v>
      </c>
      <c r="H141" s="205"/>
      <c r="I141" s="62" t="s">
        <v>81</v>
      </c>
      <c r="J141" s="62" t="s">
        <v>82</v>
      </c>
      <c r="K141" s="62" t="s">
        <v>92</v>
      </c>
      <c r="L141" s="62" t="s">
        <v>84</v>
      </c>
      <c r="M141" s="62" t="s">
        <v>85</v>
      </c>
      <c r="N141" s="62" t="s">
        <v>43</v>
      </c>
      <c r="O141" s="62" t="s">
        <v>44</v>
      </c>
      <c r="P141" s="32" t="s">
        <v>150</v>
      </c>
      <c r="Q141" s="179" t="s">
        <v>221</v>
      </c>
      <c r="R141" s="130" t="s">
        <v>222</v>
      </c>
      <c r="S141" s="131" t="s">
        <v>223</v>
      </c>
      <c r="T141" s="131" t="s">
        <v>224</v>
      </c>
      <c r="U141" s="131" t="s">
        <v>225</v>
      </c>
      <c r="V141" s="131" t="s">
        <v>226</v>
      </c>
      <c r="W141" s="131" t="s">
        <v>227</v>
      </c>
      <c r="AK141" s="140"/>
      <c r="AL141" s="140"/>
      <c r="AM141" s="140"/>
      <c r="AN141" s="140"/>
      <c r="AO141" s="140"/>
      <c r="AP141" s="140"/>
      <c r="AQ141" s="140"/>
      <c r="AR141" s="140"/>
      <c r="AS141" s="140"/>
      <c r="AT141" s="140"/>
      <c r="AU141" s="140"/>
      <c r="AV141" s="140"/>
      <c r="AW141" s="140"/>
      <c r="AX141" s="140"/>
      <c r="AY141" s="140"/>
      <c r="AZ141" s="140"/>
      <c r="BA141" s="140"/>
      <c r="BB141" s="140"/>
      <c r="BC141" s="140"/>
      <c r="BD141" s="140"/>
      <c r="BE141" s="140"/>
      <c r="BF141" s="140"/>
      <c r="BG141" s="140"/>
      <c r="BH141" s="140"/>
    </row>
    <row r="142" ht="31" customHeight="1" spans="1:60">
      <c r="A142" s="36"/>
      <c r="B142" s="144"/>
      <c r="C142" s="145"/>
      <c r="D142" s="145"/>
      <c r="E142" s="145"/>
      <c r="F142" s="145"/>
      <c r="G142" s="145"/>
      <c r="H142" s="145"/>
      <c r="I142" s="145"/>
      <c r="J142" s="184"/>
      <c r="K142" s="166"/>
      <c r="L142" s="174" t="str">
        <f>IF(B142&lt;&gt;"",P142,"")</f>
        <v/>
      </c>
      <c r="M142" s="174" t="str">
        <f>IF(B142&lt;&gt;"",L142*SUM(R142:U142),"")</f>
        <v/>
      </c>
      <c r="N142" s="168"/>
      <c r="O142" s="181"/>
      <c r="P142" s="32">
        <f>IF(I142="独立完成",1,IF(K142=1,0.8,IF(K142=2,0.2,IF(K142&gt;2,0.1,0))))</f>
        <v>0</v>
      </c>
      <c r="Q142" s="179">
        <f>IF(B142="外观设计专利",2,IF(B142="软件著作权登记",3,IF(B142="实用新型专利",6,IF(B142="发明专利",25,0))))</f>
        <v>0</v>
      </c>
      <c r="R142" s="32">
        <f>IF(B142="外观设计专利",2,0)</f>
        <v>0</v>
      </c>
      <c r="S142" s="32">
        <f>IF(B142="软件著作权登记",3,0)</f>
        <v>0</v>
      </c>
      <c r="T142" s="32">
        <f>IF(B142="实用新型专利",6,0)</f>
        <v>0</v>
      </c>
      <c r="U142" s="32">
        <f>IF(B142="发明专利",25,0)</f>
        <v>0</v>
      </c>
      <c r="V142" s="32">
        <f>IF(AND(B142="发明专利",OR(I142="独立完成",K142=1)),1,0)</f>
        <v>0</v>
      </c>
      <c r="W142" s="32">
        <f>IF(AND(B142="实用新型专利",OR(I142="独立完成",K142=1)),1,0)</f>
        <v>0</v>
      </c>
      <c r="AK142" s="140"/>
      <c r="AL142" s="140"/>
      <c r="AM142" s="140"/>
      <c r="AN142" s="140"/>
      <c r="AO142" s="140"/>
      <c r="AP142" s="140"/>
      <c r="AQ142" s="140"/>
      <c r="AR142" s="140"/>
      <c r="AS142" s="140"/>
      <c r="AT142" s="140"/>
      <c r="AU142" s="140"/>
      <c r="AV142" s="140"/>
      <c r="AW142" s="140"/>
      <c r="AX142" s="140"/>
      <c r="AY142" s="140"/>
      <c r="AZ142" s="140"/>
      <c r="BA142" s="140"/>
      <c r="BB142" s="140"/>
      <c r="BC142" s="140"/>
      <c r="BD142" s="140"/>
      <c r="BE142" s="140"/>
      <c r="BF142" s="140"/>
      <c r="BG142" s="140"/>
      <c r="BH142" s="140"/>
    </row>
    <row r="143" ht="31" customHeight="1" spans="1:60">
      <c r="A143" s="36"/>
      <c r="B143" s="144"/>
      <c r="C143" s="145"/>
      <c r="D143" s="145"/>
      <c r="E143" s="145"/>
      <c r="F143" s="145"/>
      <c r="G143" s="145"/>
      <c r="H143" s="145"/>
      <c r="I143" s="145"/>
      <c r="J143" s="184"/>
      <c r="K143" s="166"/>
      <c r="L143" s="174" t="str">
        <f>IF(B143&lt;&gt;"",P143,"")</f>
        <v/>
      </c>
      <c r="M143" s="174" t="str">
        <f>IF(B143&lt;&gt;"",L143*SUM(R143:U143),"")</f>
        <v/>
      </c>
      <c r="N143" s="168"/>
      <c r="O143" s="181"/>
      <c r="P143" s="32">
        <f>IF(I143="独立完成",1,IF(K143=1,0.8,IF(K143=2,0.2,IF(K143&gt;2,0.1,0))))</f>
        <v>0</v>
      </c>
      <c r="Q143" s="179">
        <f>IF(B143="外观设计专利",2,IF(B143="软件著作权登记",3,IF(B143="实用新型专利",6,IF(B143="发明专利",25,0))))</f>
        <v>0</v>
      </c>
      <c r="R143" s="32">
        <f>IF(B143="外观设计专利",2,0)</f>
        <v>0</v>
      </c>
      <c r="S143" s="32">
        <f>IF(B143="软件著作权登记",3,0)</f>
        <v>0</v>
      </c>
      <c r="T143" s="32">
        <f>IF(B143="实用新型专利",6,0)</f>
        <v>0</v>
      </c>
      <c r="U143" s="32">
        <f>IF(B143="发明专利",25,0)</f>
        <v>0</v>
      </c>
      <c r="V143" s="32">
        <f>IF(AND(B143="发明专利",OR(I143="独立完成",K143=1)),1,0)</f>
        <v>0</v>
      </c>
      <c r="W143" s="32">
        <f>IF(AND(B143="实用新型专利",OR(I143="独立完成",K143=1)),1,0)</f>
        <v>0</v>
      </c>
      <c r="AK143" s="140"/>
      <c r="AL143" s="140"/>
      <c r="AM143" s="140"/>
      <c r="AN143" s="140"/>
      <c r="AO143" s="140"/>
      <c r="AP143" s="140"/>
      <c r="AQ143" s="140"/>
      <c r="AR143" s="140"/>
      <c r="AS143" s="140"/>
      <c r="AT143" s="140"/>
      <c r="AU143" s="140"/>
      <c r="AV143" s="140"/>
      <c r="AW143" s="140"/>
      <c r="AX143" s="140"/>
      <c r="AY143" s="140"/>
      <c r="AZ143" s="140"/>
      <c r="BA143" s="140"/>
      <c r="BB143" s="140"/>
      <c r="BC143" s="140"/>
      <c r="BD143" s="140"/>
      <c r="BE143" s="140"/>
      <c r="BF143" s="140"/>
      <c r="BG143" s="140"/>
      <c r="BH143" s="140"/>
    </row>
    <row r="144" ht="31" customHeight="1" spans="1:60">
      <c r="A144" s="36"/>
      <c r="B144" s="146" t="s">
        <v>89</v>
      </c>
      <c r="C144" s="147"/>
      <c r="D144" s="147"/>
      <c r="E144" s="147"/>
      <c r="F144" s="147"/>
      <c r="G144" s="147"/>
      <c r="H144" s="147"/>
      <c r="I144" s="147"/>
      <c r="J144" s="147"/>
      <c r="K144" s="147"/>
      <c r="L144" s="169"/>
      <c r="M144" s="174">
        <f>IF(M142&lt;&gt;"",SUM(M142:M143),0)</f>
        <v>0</v>
      </c>
      <c r="N144" s="171"/>
      <c r="O144" s="171"/>
      <c r="AK144" s="140"/>
      <c r="AL144" s="140"/>
      <c r="AM144" s="140"/>
      <c r="AN144" s="140"/>
      <c r="AO144" s="140"/>
      <c r="AP144" s="140"/>
      <c r="AQ144" s="140"/>
      <c r="AR144" s="140"/>
      <c r="AS144" s="140"/>
      <c r="AT144" s="140"/>
      <c r="AU144" s="140"/>
      <c r="AV144" s="140"/>
      <c r="AW144" s="140"/>
      <c r="AX144" s="140"/>
      <c r="AY144" s="140"/>
      <c r="AZ144" s="140"/>
      <c r="BA144" s="140"/>
      <c r="BB144" s="140"/>
      <c r="BC144" s="140"/>
      <c r="BD144" s="140"/>
      <c r="BE144" s="140"/>
      <c r="BF144" s="140"/>
      <c r="BG144" s="140"/>
      <c r="BH144" s="140"/>
    </row>
    <row r="145" ht="31" customHeight="1" spans="1:60">
      <c r="A145" s="36"/>
      <c r="B145" s="78" t="s">
        <v>228</v>
      </c>
      <c r="C145" s="78"/>
      <c r="D145" s="78"/>
      <c r="E145" s="78"/>
      <c r="F145" s="78"/>
      <c r="G145" s="78"/>
      <c r="H145" s="78"/>
      <c r="I145" s="78"/>
      <c r="J145" s="78"/>
      <c r="K145" s="78"/>
      <c r="L145" s="78"/>
      <c r="M145" s="78"/>
      <c r="N145" s="78"/>
      <c r="O145" s="78"/>
      <c r="AK145" s="140"/>
      <c r="AL145" s="140"/>
      <c r="AM145" s="140"/>
      <c r="AN145" s="140"/>
      <c r="AO145" s="140"/>
      <c r="AP145" s="140"/>
      <c r="AQ145" s="140"/>
      <c r="AR145" s="140"/>
      <c r="AS145" s="140"/>
      <c r="AT145" s="140"/>
      <c r="AU145" s="140"/>
      <c r="AV145" s="140"/>
      <c r="AW145" s="140"/>
      <c r="AX145" s="140"/>
      <c r="AY145" s="140"/>
      <c r="AZ145" s="140"/>
      <c r="BA145" s="140"/>
      <c r="BB145" s="140"/>
      <c r="BC145" s="140"/>
      <c r="BD145" s="140"/>
      <c r="BE145" s="140"/>
      <c r="BF145" s="140"/>
      <c r="BG145" s="140"/>
      <c r="BH145" s="140"/>
    </row>
    <row r="146" ht="31" customHeight="1" spans="1:60">
      <c r="A146" s="36"/>
      <c r="B146" s="62" t="s">
        <v>58</v>
      </c>
      <c r="C146" s="62" t="s">
        <v>77</v>
      </c>
      <c r="D146" s="62"/>
      <c r="E146" s="62" t="s">
        <v>78</v>
      </c>
      <c r="F146" s="62" t="s">
        <v>79</v>
      </c>
      <c r="G146" s="62"/>
      <c r="H146" s="143" t="s">
        <v>80</v>
      </c>
      <c r="I146" s="143" t="s">
        <v>81</v>
      </c>
      <c r="J146" s="62" t="s">
        <v>82</v>
      </c>
      <c r="K146" s="62" t="s">
        <v>92</v>
      </c>
      <c r="L146" s="62" t="s">
        <v>84</v>
      </c>
      <c r="M146" s="62" t="s">
        <v>85</v>
      </c>
      <c r="N146" s="62" t="s">
        <v>43</v>
      </c>
      <c r="O146" s="62" t="s">
        <v>44</v>
      </c>
      <c r="P146" s="130"/>
      <c r="Q146" s="130"/>
      <c r="R146" s="130"/>
      <c r="S146" s="130"/>
      <c r="T146" s="130"/>
      <c r="U146" s="130"/>
      <c r="V146" s="130"/>
      <c r="W146" s="130"/>
      <c r="X146" s="130"/>
      <c r="Y146" s="130" t="s">
        <v>229</v>
      </c>
      <c r="Z146" s="130" t="s">
        <v>230</v>
      </c>
      <c r="AA146" s="130" t="s">
        <v>140</v>
      </c>
      <c r="AB146" s="130" t="s">
        <v>231</v>
      </c>
      <c r="AC146" s="130" t="s">
        <v>232</v>
      </c>
      <c r="AD146" s="130" t="s">
        <v>233</v>
      </c>
      <c r="AE146" s="130" t="s">
        <v>93</v>
      </c>
      <c r="AF146" s="130" t="s">
        <v>234</v>
      </c>
      <c r="AG146" s="130" t="s">
        <v>235</v>
      </c>
      <c r="AH146" s="130" t="s">
        <v>236</v>
      </c>
      <c r="AI146" s="130" t="s">
        <v>237</v>
      </c>
      <c r="AJ146" s="185" t="s">
        <v>238</v>
      </c>
      <c r="AK146" s="140"/>
      <c r="AL146" s="140"/>
      <c r="AM146" s="140"/>
      <c r="AN146" s="140"/>
      <c r="AO146" s="140"/>
      <c r="AP146" s="140"/>
      <c r="AQ146" s="140"/>
      <c r="AR146" s="140"/>
      <c r="AS146" s="140"/>
      <c r="AT146" s="140"/>
      <c r="AU146" s="140"/>
      <c r="AV146" s="140"/>
      <c r="AW146" s="140"/>
      <c r="AX146" s="140"/>
      <c r="AY146" s="140"/>
      <c r="AZ146" s="140"/>
      <c r="BA146" s="140"/>
      <c r="BB146" s="140"/>
      <c r="BC146" s="140"/>
      <c r="BD146" s="140"/>
      <c r="BE146" s="140"/>
      <c r="BF146" s="140"/>
      <c r="BG146" s="140"/>
      <c r="BH146" s="140"/>
    </row>
    <row r="147" ht="31" customHeight="1" spans="1:60">
      <c r="A147" s="36"/>
      <c r="B147" s="144"/>
      <c r="C147" s="144"/>
      <c r="D147" s="144"/>
      <c r="E147" s="144"/>
      <c r="F147" s="145"/>
      <c r="G147" s="145"/>
      <c r="H147" s="149"/>
      <c r="I147" s="145"/>
      <c r="J147" s="166"/>
      <c r="K147" s="166"/>
      <c r="L147" s="167" t="str">
        <f>IF(B147&lt;&gt;"",IF(OR(B147="文化建设项目",B147="产教融合项目"),0,IF(OR(B147="个人荣誉",C147="社团指导教师"),1,W147+X147)),"")</f>
        <v/>
      </c>
      <c r="M147" s="167" t="str">
        <f>IF(B147&lt;&gt;"",(SUM(P147:V147)+SUM(Y147:AJ147))*L147,"")</f>
        <v/>
      </c>
      <c r="N147" s="168"/>
      <c r="O147" s="168"/>
      <c r="P147" s="32"/>
      <c r="Q147" s="32"/>
      <c r="S147" s="32"/>
      <c r="T147" s="32"/>
      <c r="U147" s="32"/>
      <c r="V147" s="32"/>
      <c r="W147" s="32"/>
      <c r="X147" s="181"/>
      <c r="Y147" s="181">
        <f>IF(AND(B147="文化建设项目",E147="国家级"),40,IF(AND(B147="文化建设项目",E147="省级"),15,IF(AND(B147="文化建设项目",E147="市级"),10,IF(AND(B147="文化建设项目设",E147="校级"),3,0))))</f>
        <v>0</v>
      </c>
      <c r="Z147" s="32">
        <f>IF(AND(C147="产教融合项目",E147="国家级"),60,IF(AND(C147="产教融合项目",E147="省级"),20,IF(AND(C147="产教融合项目",E147="市级"),10,IF(AND(C147="产教融合项目",E147="校级"),0,0))))</f>
        <v>0</v>
      </c>
      <c r="AA147" s="32">
        <f>IF(AND(C147="辅导员名师",E147="国家级"),35,IF(AND(C147="辅导员名师",E147="省级"),15,IF(AND(C147="辅导员名师",E147="市级"),10,IF(AND(C147="辅导员名师",E147="校级"),5,0))))</f>
        <v>0</v>
      </c>
      <c r="AB147" s="32">
        <f>IF(AND(C147="教学名师",E147="国家级"),40,IF(AND(C147="教学名师",E147="省级"),15,IF(AND(C147="教学名师",E147="市级"),10,IF(AND(C147="教学名师",E147="校级"),5,0))))</f>
        <v>0</v>
      </c>
      <c r="AC147" s="32">
        <f>IF(AND(OR(C147="专业带头人",C147="学术带头人"),E147="国家级"),35,IF(AND(OR(C147="专业带头人",C147="学术带头人"),E147="省级"),15,IF(AND(OR(C147="专业带头人",C147="学术带头人"),E147="市级"),10,IF(AND(OR(C147="专业带头人",C147="学术带头人"),E147="校级"),5,0))))</f>
        <v>0</v>
      </c>
      <c r="AD147" s="32">
        <f>IF(AND(OR(C147="骨干教师",C147="科研骨干"),E147="国家级"),25,IF(AND(OR(C147="骨干教师",C147="科研骨干"),E147="省级"),10,IF(AND(OR(C147="骨干教师",C147="科研骨干"),E147="市级"),7,IF(AND(OR(C147="骨干教师",C147="科研骨干"),E147="校级"),5,0))))</f>
        <v>0</v>
      </c>
      <c r="AE147" s="32">
        <f>IF(AND(C147="学生团体荣誉",E147="国家级"),25,IF(AND(C147="学生团体荣誉",E147="省级"),10,IF(AND(C147="学生团体荣誉",E147="市级"),5,IF(AND(C147="学生团体荣誉",E147="校级"),3,0))))</f>
        <v>0</v>
      </c>
      <c r="AF147" s="32">
        <f>IF(AND(C147="技能大师",E147="国家级"),35,IF(AND(C147="技能大师",E147="省级"),15,IF(AND(C147="技能大师",E147="市级"),10,IF(AND(C147="技能大师",E147="校级"),5,0))))</f>
        <v>0</v>
      </c>
      <c r="AG147" s="32">
        <f>IF(AND(C147="社团指导教师",E147="国家级"),0,IF(AND(C147="教社团指导教师",E147="省级"),0,IF(AND(C147="社团指导教师",E147="市级"),0,IF(AND(C147="社团指导教师",E147="校级"),3,0))))</f>
        <v>0</v>
      </c>
      <c r="AH147" s="181">
        <f>IF(AND(OR(C147="党组织荣誉",C147="其他团体荣誉"),E147="国家级"),20,IF(AND(OR(C147="党组织荣誉",C147="其他团体荣誉"),E147="省级"),8,IF(AND(OR(C147="党组织荣誉",C147="其他团体荣誉"),E147="市级"),5,IF(AND(OR(C147="党组织荣誉",C147="其他团体荣誉"),E147="校级"),3,0))))</f>
        <v>0</v>
      </c>
      <c r="AI147" s="181">
        <f>IF(AND(C147="教师党支部书记",E147="国家级"),0,IF(AND(C147="教师党支部书记",E147="省级"),0,IF(AND(C147="教师党支部书记",E147="市级"),0,IF(AND(C147="教师党支部书记",E147="校级"),3,0))))</f>
        <v>0</v>
      </c>
      <c r="AJ147" s="200">
        <f>IF(AND(OR(C147="党务工作项目荣誉",C147="其他工作项目荣誉"),E147="国家级"),20,IF(AND(OR(C147="党务工作项目荣誉",C147="其他工作项目荣誉"),E147="省级"),8,IF(AND(OR(C147="党务工作项目荣誉",C147="其他工作项目荣誉"),E147="市级"),5,IF(AND(OR(C147="党务工作项目荣誉",C147="其他工作项目荣誉"),E147="校级"),3,0))))</f>
        <v>0</v>
      </c>
      <c r="AK147" s="140"/>
      <c r="AL147" s="140"/>
      <c r="AM147" s="140"/>
      <c r="AN147" s="140"/>
      <c r="AO147" s="140"/>
      <c r="AP147" s="140"/>
      <c r="AQ147" s="140"/>
      <c r="AR147" s="140"/>
      <c r="AS147" s="140"/>
      <c r="AT147" s="140"/>
      <c r="AU147" s="140"/>
      <c r="AV147" s="140"/>
      <c r="AW147" s="140"/>
      <c r="AX147" s="140"/>
      <c r="AY147" s="140"/>
      <c r="AZ147" s="140"/>
      <c r="BA147" s="140"/>
      <c r="BB147" s="140"/>
      <c r="BC147" s="140"/>
      <c r="BD147" s="140"/>
      <c r="BE147" s="140"/>
      <c r="BF147" s="140"/>
      <c r="BG147" s="140"/>
      <c r="BH147" s="140"/>
    </row>
    <row r="148" ht="31" customHeight="1" spans="1:60">
      <c r="A148" s="36"/>
      <c r="B148" s="144"/>
      <c r="C148" s="144"/>
      <c r="D148" s="144"/>
      <c r="E148" s="144"/>
      <c r="F148" s="145"/>
      <c r="G148" s="145"/>
      <c r="H148" s="149"/>
      <c r="I148" s="145"/>
      <c r="J148" s="166"/>
      <c r="K148" s="166"/>
      <c r="L148" s="167" t="str">
        <f>IF(B148&lt;&gt;"",IF(OR(B148="文化建设项目",B148="产教融合项目"),0,IF(OR(B148="个人荣誉",C148="社团指导教师"),1,W148+X148)),"")</f>
        <v/>
      </c>
      <c r="M148" s="167" t="str">
        <f>IF(B148&lt;&gt;"",(SUM(P148:V148)+SUM(Y148:AJ148))*L148,"")</f>
        <v/>
      </c>
      <c r="N148" s="168"/>
      <c r="O148" s="168"/>
      <c r="P148" s="32"/>
      <c r="Q148" s="32"/>
      <c r="S148" s="32"/>
      <c r="T148" s="32"/>
      <c r="U148" s="32"/>
      <c r="V148" s="32"/>
      <c r="W148" s="32"/>
      <c r="X148" s="181"/>
      <c r="Y148" s="181">
        <f>IF(AND(B148="文化建设项目",E148="国家级"),40,IF(AND(B148="文化建设项目",E148="省级"),15,IF(AND(B148="文化建设项目",E148="市级"),10,IF(AND(B148="文化建设项目设",E148="校级"),3,0))))</f>
        <v>0</v>
      </c>
      <c r="Z148" s="32">
        <f>IF(AND(C148="产教融合项目",E148="国家级"),60,IF(AND(C148="产教融合项目",E148="省级"),20,IF(AND(C148="产教融合项目",E148="市级"),10,IF(AND(C148="产教融合项目",E148="校级"),0,0))))</f>
        <v>0</v>
      </c>
      <c r="AA148" s="32">
        <f>IF(AND(C148="辅导员名师",E148="国家级"),35,IF(AND(C148="辅导员名师",E148="省级"),15,IF(AND(C148="辅导员名师",E148="市级"),10,IF(AND(C148="辅导员名师",E148="校级"),5,0))))</f>
        <v>0</v>
      </c>
      <c r="AB148" s="32">
        <f>IF(AND(C148="教学名师",E148="国家级"),40,IF(AND(C148="教学名师",E148="省级"),15,IF(AND(C148="教学名师",E148="市级"),10,IF(AND(C148="教学名师",E148="校级"),5,0))))</f>
        <v>0</v>
      </c>
      <c r="AC148" s="32">
        <f>IF(AND(OR(C148="专业带头人",C148="学术带头人"),E148="国家级"),35,IF(AND(OR(C148="专业带头人",C148="学术带头人"),E148="省级"),15,IF(AND(OR(C148="专业带头人",C148="学术带头人"),E148="市级"),10,IF(AND(OR(C148="专业带头人",C148="学术带头人"),E148="校级"),5,0))))</f>
        <v>0</v>
      </c>
      <c r="AD148" s="32">
        <f>IF(AND(OR(C148="骨干教师",C148="科研骨干"),E148="国家级"),25,IF(AND(OR(C148="骨干教师",C148="科研骨干"),E148="省级"),10,IF(AND(OR(C148="骨干教师",C148="科研骨干"),E148="市级"),7,IF(AND(OR(C148="骨干教师",C148="科研骨干"),E148="校级"),5,0))))</f>
        <v>0</v>
      </c>
      <c r="AE148" s="32">
        <f>IF(AND(C148="学生团体荣誉",E148="国家级"),25,IF(AND(C148="学生团体荣誉",E148="省级"),10,IF(AND(C148="学生团体荣誉",E148="市级"),5,IF(AND(C148="学生团体荣誉",E148="校级"),3,0))))</f>
        <v>0</v>
      </c>
      <c r="AF148" s="32">
        <f>IF(AND(C148="技能大师",E148="国家级"),35,IF(AND(C148="技能大师",E148="省级"),15,IF(AND(C148="技能大师",E148="市级"),10,IF(AND(C148="技能大师",E148="校级"),5,0))))</f>
        <v>0</v>
      </c>
      <c r="AG148" s="32">
        <f>IF(AND(C148="社团指导教师",E148="国家级"),0,IF(AND(C148="教社团指导教师",E148="省级"),0,IF(AND(C148="社团指导教师",E148="市级"),0,IF(AND(C148="社团指导教师",E148="校级"),3,0))))</f>
        <v>0</v>
      </c>
      <c r="AH148" s="181">
        <f>IF(AND(OR(C148="党组织荣誉",C148="其他团体荣誉"),E148="国家级"),20,IF(AND(OR(C148="党组织荣誉",C148="其他团体荣誉"),E148="省级"),8,IF(AND(OR(C148="党组织荣誉",C148="其他团体荣誉"),E148="市级"),5,IF(AND(OR(C148="党组织荣誉",C148="其他团体荣誉"),E148="校级"),3,0))))</f>
        <v>0</v>
      </c>
      <c r="AI148" s="181">
        <f>IF(AND(C148="教师党支部书记",E148="国家级"),0,IF(AND(C148="教师党支部书记",E148="省级"),0,IF(AND(C148="教师党支部书记",E148="市级"),0,IF(AND(C148="教师党支部书记",E148="校级"),3,0))))</f>
        <v>0</v>
      </c>
      <c r="AJ148" s="200">
        <f>IF(AND(OR(C148="党务工作项目荣誉",C148="其他工作项目荣誉"),E148="国家级"),20,IF(AND(OR(C148="党务工作项目荣誉",C148="其他工作项目荣誉"),E148="省级"),8,IF(AND(OR(C148="党务工作项目荣誉",C148="其他工作项目荣誉"),E148="市级"),5,IF(AND(OR(C148="党务工作项目荣誉",C148="其他工作项目荣誉"),E148="校级"),3,0))))</f>
        <v>0</v>
      </c>
      <c r="AK148" s="140"/>
      <c r="AL148" s="140"/>
      <c r="AM148" s="140"/>
      <c r="AN148" s="140"/>
      <c r="AO148" s="140"/>
      <c r="AP148" s="140"/>
      <c r="AQ148" s="140"/>
      <c r="AR148" s="140"/>
      <c r="AS148" s="140"/>
      <c r="AT148" s="140"/>
      <c r="AU148" s="140"/>
      <c r="AV148" s="140"/>
      <c r="AW148" s="140"/>
      <c r="AX148" s="140"/>
      <c r="AY148" s="140"/>
      <c r="AZ148" s="140"/>
      <c r="BA148" s="140"/>
      <c r="BB148" s="140"/>
      <c r="BC148" s="140"/>
      <c r="BD148" s="140"/>
      <c r="BE148" s="140"/>
      <c r="BF148" s="140"/>
      <c r="BG148" s="140"/>
      <c r="BH148" s="140"/>
    </row>
    <row r="149" ht="31" customHeight="1" spans="1:60">
      <c r="A149" s="36"/>
      <c r="B149" s="144"/>
      <c r="C149" s="144"/>
      <c r="D149" s="144"/>
      <c r="E149" s="144"/>
      <c r="F149" s="145"/>
      <c r="G149" s="145"/>
      <c r="H149" s="149"/>
      <c r="I149" s="145"/>
      <c r="J149" s="166"/>
      <c r="K149" s="166"/>
      <c r="L149" s="167" t="str">
        <f>IF(B149&lt;&gt;"",IF(OR(B149="文化建设项目",B149="产教融合项目"),0,IF(OR(B149="个人荣誉",C149="社团指导教师"),1,W149+X149)),"")</f>
        <v/>
      </c>
      <c r="M149" s="167" t="str">
        <f>IF(B149&lt;&gt;"",(SUM(P149:V149)+SUM(Y149:AJ149))*L149,"")</f>
        <v/>
      </c>
      <c r="N149" s="168"/>
      <c r="O149" s="168"/>
      <c r="P149" s="32"/>
      <c r="Q149" s="32"/>
      <c r="S149" s="32"/>
      <c r="T149" s="32"/>
      <c r="U149" s="32"/>
      <c r="V149" s="32"/>
      <c r="W149" s="32"/>
      <c r="X149" s="181"/>
      <c r="Y149" s="181">
        <f>IF(AND(B149="文化建设项目",E149="国家级"),40,IF(AND(B149="文化建设项目",E149="省级"),15,IF(AND(B149="文化建设项目",E149="市级"),10,IF(AND(B149="文化建设项目设",E149="校级"),3,0))))</f>
        <v>0</v>
      </c>
      <c r="Z149" s="32">
        <f>IF(AND(C149="产教融合项目",E149="国家级"),60,IF(AND(C149="产教融合项目",E149="省级"),20,IF(AND(C149="产教融合项目",E149="市级"),10,IF(AND(C149="产教融合项目",E149="校级"),0,0))))</f>
        <v>0</v>
      </c>
      <c r="AA149" s="32">
        <f>IF(AND(C149="辅导员名师",E149="国家级"),35,IF(AND(C149="辅导员名师",E149="省级"),15,IF(AND(C149="辅导员名师",E149="市级"),10,IF(AND(C149="辅导员名师",E149="校级"),5,0))))</f>
        <v>0</v>
      </c>
      <c r="AB149" s="32">
        <f>IF(AND(C149="教学名师",E149="国家级"),40,IF(AND(C149="教学名师",E149="省级"),15,IF(AND(C149="教学名师",E149="市级"),10,IF(AND(C149="教学名师",E149="校级"),5,0))))</f>
        <v>0</v>
      </c>
      <c r="AC149" s="32">
        <f>IF(AND(OR(C149="专业带头人",C149="学术带头人"),E149="国家级"),35,IF(AND(OR(C149="专业带头人",C149="学术带头人"),E149="省级"),15,IF(AND(OR(C149="专业带头人",C149="学术带头人"),E149="市级"),10,IF(AND(OR(C149="专业带头人",C149="学术带头人"),E149="校级"),5,0))))</f>
        <v>0</v>
      </c>
      <c r="AD149" s="32">
        <f>IF(AND(OR(C149="骨干教师",C149="科研骨干"),E149="国家级"),25,IF(AND(OR(C149="骨干教师",C149="科研骨干"),E149="省级"),10,IF(AND(OR(C149="骨干教师",C149="科研骨干"),E149="市级"),7,IF(AND(OR(C149="骨干教师",C149="科研骨干"),E149="校级"),5,0))))</f>
        <v>0</v>
      </c>
      <c r="AE149" s="32">
        <f>IF(AND(C149="学生团体荣誉",E149="国家级"),25,IF(AND(C149="学生团体荣誉",E149="省级"),10,IF(AND(C149="学生团体荣誉",E149="市级"),5,IF(AND(C149="学生团体荣誉",E149="校级"),3,0))))</f>
        <v>0</v>
      </c>
      <c r="AF149" s="32">
        <f>IF(AND(C149="技能大师",E149="国家级"),35,IF(AND(C149="技能大师",E149="省级"),15,IF(AND(C149="技能大师",E149="市级"),10,IF(AND(C149="技能大师",E149="校级"),5,0))))</f>
        <v>0</v>
      </c>
      <c r="AG149" s="32">
        <f>IF(AND(C149="社团指导教师",E149="国家级"),0,IF(AND(C149="教社团指导教师",E149="省级"),0,IF(AND(C149="社团指导教师",E149="市级"),0,IF(AND(C149="社团指导教师",E149="校级"),3,0))))</f>
        <v>0</v>
      </c>
      <c r="AH149" s="181">
        <f>IF(AND(OR(C149="党组织荣誉",C149="其他团体荣誉"),E149="国家级"),20,IF(AND(OR(C149="党组织荣誉",C149="其他团体荣誉"),E149="省级"),8,IF(AND(OR(C149="党组织荣誉",C149="其他团体荣誉"),E149="市级"),5,IF(AND(OR(C149="党组织荣誉",C149="其他团体荣誉"),E149="校级"),3,0))))</f>
        <v>0</v>
      </c>
      <c r="AI149" s="181">
        <f>IF(AND(C149="教师党支部书记",E149="国家级"),0,IF(AND(C149="教师党支部书记",E149="省级"),0,IF(AND(C149="教师党支部书记",E149="市级"),0,IF(AND(C149="教师党支部书记",E149="校级"),3,0))))</f>
        <v>0</v>
      </c>
      <c r="AJ149" s="200">
        <f>IF(AND(OR(C149="党务工作项目荣誉",C149="其他工作项目荣誉"),E149="国家级"),20,IF(AND(OR(C149="党务工作项目荣誉",C149="其他工作项目荣誉"),E149="省级"),8,IF(AND(OR(C149="党务工作项目荣誉",C149="其他工作项目荣誉"),E149="市级"),5,IF(AND(OR(C149="党务工作项目荣誉",C149="其他工作项目荣誉"),E149="校级"),3,0))))</f>
        <v>0</v>
      </c>
      <c r="AK149" s="140"/>
      <c r="AL149" s="140"/>
      <c r="AM149" s="140"/>
      <c r="AN149" s="140"/>
      <c r="AO149" s="140"/>
      <c r="AP149" s="140"/>
      <c r="AQ149" s="140"/>
      <c r="AR149" s="140"/>
      <c r="AS149" s="140"/>
      <c r="AT149" s="140"/>
      <c r="AU149" s="140"/>
      <c r="AV149" s="140"/>
      <c r="AW149" s="140"/>
      <c r="AX149" s="140"/>
      <c r="AY149" s="140"/>
      <c r="AZ149" s="140"/>
      <c r="BA149" s="140"/>
      <c r="BB149" s="140"/>
      <c r="BC149" s="140"/>
      <c r="BD149" s="140"/>
      <c r="BE149" s="140"/>
      <c r="BF149" s="140"/>
      <c r="BG149" s="140"/>
      <c r="BH149" s="140"/>
    </row>
    <row r="150" ht="31" customHeight="1" spans="1:60">
      <c r="A150" s="36"/>
      <c r="B150" s="146" t="s">
        <v>89</v>
      </c>
      <c r="C150" s="147"/>
      <c r="D150" s="147"/>
      <c r="E150" s="147"/>
      <c r="F150" s="147"/>
      <c r="G150" s="147"/>
      <c r="H150" s="147"/>
      <c r="I150" s="147"/>
      <c r="J150" s="147"/>
      <c r="K150" s="147"/>
      <c r="L150" s="169"/>
      <c r="M150" s="167">
        <f>IF(M147&lt;&gt;"",SUM(M147:M149),0)</f>
        <v>0</v>
      </c>
      <c r="N150" s="170"/>
      <c r="O150" s="170"/>
      <c r="AK150" s="140"/>
      <c r="AL150" s="140"/>
      <c r="AM150" s="140"/>
      <c r="AN150" s="140"/>
      <c r="AO150" s="140"/>
      <c r="AP150" s="140"/>
      <c r="AQ150" s="140"/>
      <c r="AR150" s="140"/>
      <c r="AS150" s="140"/>
      <c r="AT150" s="140"/>
      <c r="AU150" s="140"/>
      <c r="AV150" s="140"/>
      <c r="AW150" s="140"/>
      <c r="AX150" s="140"/>
      <c r="AY150" s="140"/>
      <c r="AZ150" s="140"/>
      <c r="BA150" s="140"/>
      <c r="BB150" s="140"/>
      <c r="BC150" s="140"/>
      <c r="BD150" s="140"/>
      <c r="BE150" s="140"/>
      <c r="BF150" s="140"/>
      <c r="BG150" s="140"/>
      <c r="BH150" s="140"/>
    </row>
    <row r="151" ht="15" customHeight="1" spans="1:60">
      <c r="A151" s="36"/>
      <c r="B151" s="58"/>
      <c r="C151" s="59"/>
      <c r="D151" s="59"/>
      <c r="E151" s="58"/>
      <c r="F151" s="60"/>
      <c r="G151" s="58"/>
      <c r="H151" s="61"/>
      <c r="I151" s="61"/>
      <c r="J151" s="108"/>
      <c r="K151" s="109"/>
      <c r="L151" s="109"/>
      <c r="M151" s="110"/>
      <c r="N151" s="110"/>
      <c r="O151" s="101"/>
      <c r="P151" s="98"/>
      <c r="AK151" s="140"/>
      <c r="AL151" s="140"/>
      <c r="AM151" s="140"/>
      <c r="AN151" s="140"/>
      <c r="AO151" s="140"/>
      <c r="AP151" s="140"/>
      <c r="AQ151" s="140"/>
      <c r="AR151" s="140"/>
      <c r="AS151" s="140"/>
      <c r="AT151" s="140"/>
      <c r="AU151" s="140"/>
      <c r="AV151" s="140"/>
      <c r="AW151" s="140"/>
      <c r="AX151" s="140"/>
      <c r="AY151" s="140"/>
      <c r="AZ151" s="140"/>
      <c r="BA151" s="140"/>
      <c r="BB151" s="140"/>
      <c r="BC151" s="140"/>
      <c r="BD151" s="140"/>
      <c r="BE151" s="140"/>
      <c r="BF151" s="140"/>
      <c r="BG151" s="140"/>
      <c r="BH151" s="140"/>
    </row>
    <row r="152" ht="27" customHeight="1" spans="1:60">
      <c r="A152" s="36"/>
      <c r="B152" s="78" t="s">
        <v>239</v>
      </c>
      <c r="C152" s="78"/>
      <c r="D152" s="78"/>
      <c r="E152" s="78"/>
      <c r="F152" s="78"/>
      <c r="G152" s="78"/>
      <c r="H152" s="78"/>
      <c r="I152" s="78"/>
      <c r="J152" s="78"/>
      <c r="K152" s="78"/>
      <c r="L152" s="78"/>
      <c r="M152" s="78"/>
      <c r="N152" s="78"/>
      <c r="O152" s="78"/>
      <c r="AK152" s="140"/>
      <c r="AL152" s="140"/>
      <c r="AM152" s="140"/>
      <c r="AN152" s="140"/>
      <c r="AO152" s="140"/>
      <c r="AP152" s="140"/>
      <c r="AQ152" s="140"/>
      <c r="AR152" s="140"/>
      <c r="AS152" s="140"/>
      <c r="AT152" s="140"/>
      <c r="AU152" s="140"/>
      <c r="AV152" s="140"/>
      <c r="AW152" s="140"/>
      <c r="AX152" s="140"/>
      <c r="AY152" s="140"/>
      <c r="AZ152" s="140"/>
      <c r="BA152" s="140"/>
      <c r="BB152" s="140"/>
      <c r="BC152" s="140"/>
      <c r="BD152" s="140"/>
      <c r="BE152" s="140"/>
      <c r="BF152" s="140"/>
      <c r="BG152" s="140"/>
      <c r="BH152" s="140"/>
    </row>
    <row r="153" ht="27" customHeight="1" spans="1:60">
      <c r="A153" s="36"/>
      <c r="B153" s="206" t="s">
        <v>240</v>
      </c>
      <c r="C153" s="207" t="s">
        <v>241</v>
      </c>
      <c r="D153" s="208"/>
      <c r="E153" s="209"/>
      <c r="F153" s="210" t="s">
        <v>67</v>
      </c>
      <c r="G153" s="211"/>
      <c r="H153" s="212" t="s">
        <v>242</v>
      </c>
      <c r="I153" s="212"/>
      <c r="J153" s="212"/>
      <c r="K153" s="247" t="s">
        <v>67</v>
      </c>
      <c r="L153" s="248"/>
      <c r="M153" s="249"/>
      <c r="N153" s="250" t="s">
        <v>243</v>
      </c>
      <c r="O153" s="251"/>
      <c r="AK153" s="140"/>
      <c r="AL153" s="140"/>
      <c r="AM153" s="140"/>
      <c r="AN153" s="140"/>
      <c r="AO153" s="140"/>
      <c r="AP153" s="140"/>
      <c r="AQ153" s="140"/>
      <c r="AR153" s="140"/>
      <c r="AS153" s="140"/>
      <c r="AT153" s="140"/>
      <c r="AU153" s="140"/>
      <c r="AV153" s="140"/>
      <c r="AW153" s="140"/>
      <c r="AX153" s="140"/>
      <c r="AY153" s="140"/>
      <c r="AZ153" s="140"/>
      <c r="BA153" s="140"/>
      <c r="BB153" s="140"/>
      <c r="BC153" s="140"/>
      <c r="BD153" s="140"/>
      <c r="BE153" s="140"/>
      <c r="BF153" s="140"/>
      <c r="BG153" s="140"/>
      <c r="BH153" s="140"/>
    </row>
    <row r="154" ht="27" customHeight="1" spans="1:60">
      <c r="A154" s="36"/>
      <c r="B154" s="213"/>
      <c r="C154" s="214">
        <f>IF(D26&lt;&gt;"",IF(D26="学士",2,IF(D26="硕士",3,IF(D26="博士",5,IF(D26="无学位（本科毕业）",1,0)))),0)</f>
        <v>0</v>
      </c>
      <c r="D154" s="215"/>
      <c r="E154" s="216"/>
      <c r="F154" s="214" t="str">
        <f ca="1">IF(C154&lt;&gt;"",P27,"")</f>
        <v>不满足</v>
      </c>
      <c r="G154" s="216"/>
      <c r="H154" s="217">
        <f ca="1">IF(N28&lt;&gt;"",N28*1,0)</f>
        <v>0</v>
      </c>
      <c r="I154" s="217"/>
      <c r="J154" s="217"/>
      <c r="K154" s="217" t="str">
        <f ca="1">IF(H154&lt;&gt;"",Q27,"")</f>
        <v>不满足</v>
      </c>
      <c r="L154" s="217"/>
      <c r="M154" s="217"/>
      <c r="N154" s="250">
        <f ca="1">C154+H154</f>
        <v>0</v>
      </c>
      <c r="O154" s="251"/>
      <c r="AK154" s="140"/>
      <c r="AL154" s="140"/>
      <c r="AM154" s="140"/>
      <c r="AN154" s="140"/>
      <c r="AO154" s="140"/>
      <c r="AP154" s="140"/>
      <c r="AQ154" s="140"/>
      <c r="AR154" s="140"/>
      <c r="AS154" s="140"/>
      <c r="AT154" s="140"/>
      <c r="AU154" s="140"/>
      <c r="AV154" s="140"/>
      <c r="AW154" s="140"/>
      <c r="AX154" s="140"/>
      <c r="AY154" s="140"/>
      <c r="AZ154" s="140"/>
      <c r="BA154" s="140"/>
      <c r="BB154" s="140"/>
      <c r="BC154" s="140"/>
      <c r="BD154" s="140"/>
      <c r="BE154" s="140"/>
      <c r="BF154" s="140"/>
      <c r="BG154" s="140"/>
      <c r="BH154" s="140"/>
    </row>
    <row r="155" ht="27" customHeight="1" spans="1:60">
      <c r="A155" s="36"/>
      <c r="B155" s="218" t="s">
        <v>244</v>
      </c>
      <c r="C155" s="219" t="s">
        <v>245</v>
      </c>
      <c r="D155" s="220"/>
      <c r="E155" s="221"/>
      <c r="F155" s="219" t="s">
        <v>246</v>
      </c>
      <c r="G155" s="220"/>
      <c r="H155" s="219" t="s">
        <v>247</v>
      </c>
      <c r="I155" s="220"/>
      <c r="J155" s="220"/>
      <c r="K155" s="229"/>
      <c r="L155" s="252" t="s">
        <v>248</v>
      </c>
      <c r="M155" s="252"/>
      <c r="N155" s="253" t="s">
        <v>249</v>
      </c>
      <c r="O155" s="254"/>
      <c r="AK155" s="140"/>
      <c r="AL155" s="140"/>
      <c r="AM155" s="140"/>
      <c r="AN155" s="140"/>
      <c r="AO155" s="140"/>
      <c r="AP155" s="140"/>
      <c r="AQ155" s="140"/>
      <c r="AR155" s="140"/>
      <c r="AS155" s="140"/>
      <c r="AT155" s="140"/>
      <c r="AU155" s="140"/>
      <c r="AV155" s="140"/>
      <c r="AW155" s="140"/>
      <c r="AX155" s="140"/>
      <c r="AY155" s="140"/>
      <c r="AZ155" s="140"/>
      <c r="BA155" s="140"/>
      <c r="BB155" s="140"/>
      <c r="BC155" s="140"/>
      <c r="BD155" s="140"/>
      <c r="BE155" s="140"/>
      <c r="BF155" s="140"/>
      <c r="BG155" s="140"/>
      <c r="BH155" s="140"/>
    </row>
    <row r="156" ht="27" customHeight="1" spans="1:60">
      <c r="A156" s="36"/>
      <c r="B156" s="222"/>
      <c r="C156" s="214" t="str">
        <f>Q29</f>
        <v>不满足</v>
      </c>
      <c r="D156" s="215"/>
      <c r="E156" s="216"/>
      <c r="F156" s="214" t="str">
        <f>P29</f>
        <v>不满足</v>
      </c>
      <c r="G156" s="215"/>
      <c r="H156" s="214" t="str">
        <f>IF(OR(Q32="满足",Q36="满足"),"满足","不满足")</f>
        <v>不满足</v>
      </c>
      <c r="I156" s="215"/>
      <c r="J156" s="215"/>
      <c r="K156" s="216"/>
      <c r="L156" s="255">
        <f>P45+P48</f>
        <v>0</v>
      </c>
      <c r="M156" s="255"/>
      <c r="N156" s="256" t="str">
        <f>IF((Q45+Q48)&gt;0,"满足","不满足")</f>
        <v>不满足</v>
      </c>
      <c r="O156" s="257"/>
      <c r="AK156" s="140"/>
      <c r="AL156" s="140"/>
      <c r="AM156" s="140"/>
      <c r="AN156" s="140"/>
      <c r="AO156" s="140"/>
      <c r="AP156" s="140"/>
      <c r="AQ156" s="140"/>
      <c r="AR156" s="140"/>
      <c r="AS156" s="140"/>
      <c r="AT156" s="140"/>
      <c r="AU156" s="140"/>
      <c r="AV156" s="140"/>
      <c r="AW156" s="140"/>
      <c r="AX156" s="140"/>
      <c r="AY156" s="140"/>
      <c r="AZ156" s="140"/>
      <c r="BA156" s="140"/>
      <c r="BB156" s="140"/>
      <c r="BC156" s="140"/>
      <c r="BD156" s="140"/>
      <c r="BE156" s="140"/>
      <c r="BF156" s="140"/>
      <c r="BG156" s="140"/>
      <c r="BH156" s="140"/>
    </row>
    <row r="157" ht="27" customHeight="1" spans="1:60">
      <c r="A157" s="36"/>
      <c r="B157" s="222"/>
      <c r="C157" s="223" t="s">
        <v>250</v>
      </c>
      <c r="D157" s="224"/>
      <c r="E157" s="225"/>
      <c r="F157" s="226" t="s">
        <v>251</v>
      </c>
      <c r="G157" s="227"/>
      <c r="H157" s="227"/>
      <c r="I157" s="235"/>
      <c r="J157" s="219" t="s">
        <v>252</v>
      </c>
      <c r="K157" s="220"/>
      <c r="L157" s="220"/>
      <c r="M157" s="229"/>
      <c r="N157" s="258" t="s">
        <v>253</v>
      </c>
      <c r="O157" s="259"/>
      <c r="AK157" s="140"/>
      <c r="AL157" s="140"/>
      <c r="AM157" s="140"/>
      <c r="AN157" s="140"/>
      <c r="AO157" s="140"/>
      <c r="AP157" s="140"/>
      <c r="AQ157" s="140"/>
      <c r="AR157" s="140"/>
      <c r="AS157" s="140"/>
      <c r="AT157" s="140"/>
      <c r="AU157" s="140"/>
      <c r="AV157" s="140"/>
      <c r="AW157" s="140"/>
      <c r="AX157" s="140"/>
      <c r="AY157" s="140"/>
      <c r="AZ157" s="140"/>
      <c r="BA157" s="140"/>
      <c r="BB157" s="140"/>
      <c r="BC157" s="140"/>
      <c r="BD157" s="140"/>
      <c r="BE157" s="140"/>
      <c r="BF157" s="140"/>
      <c r="BG157" s="140"/>
      <c r="BH157" s="140"/>
    </row>
    <row r="158" ht="27" customHeight="1" spans="1:60">
      <c r="A158" s="36"/>
      <c r="B158" s="228"/>
      <c r="C158" s="214">
        <f>P50+Q50</f>
        <v>0</v>
      </c>
      <c r="D158" s="215"/>
      <c r="E158" s="216"/>
      <c r="F158" s="214" t="str">
        <f>T50</f>
        <v>不满足</v>
      </c>
      <c r="G158" s="215"/>
      <c r="H158" s="215"/>
      <c r="I158" s="216"/>
      <c r="J158" s="214">
        <f>Q63+M68</f>
        <v>0</v>
      </c>
      <c r="K158" s="215"/>
      <c r="L158" s="215"/>
      <c r="M158" s="216"/>
      <c r="N158" s="260">
        <f>L156+C158+J158</f>
        <v>0</v>
      </c>
      <c r="O158" s="260"/>
      <c r="AK158" s="140"/>
      <c r="AL158" s="140"/>
      <c r="AM158" s="140"/>
      <c r="AN158" s="140"/>
      <c r="AO158" s="140"/>
      <c r="AP158" s="140"/>
      <c r="AQ158" s="140"/>
      <c r="AR158" s="140"/>
      <c r="AS158" s="140"/>
      <c r="AT158" s="140"/>
      <c r="AU158" s="140"/>
      <c r="AV158" s="140"/>
      <c r="AW158" s="140"/>
      <c r="AX158" s="140"/>
      <c r="AY158" s="140"/>
      <c r="AZ158" s="140"/>
      <c r="BA158" s="140"/>
      <c r="BB158" s="140"/>
      <c r="BC158" s="140"/>
      <c r="BD158" s="140"/>
      <c r="BE158" s="140"/>
      <c r="BF158" s="140"/>
      <c r="BG158" s="140"/>
      <c r="BH158" s="140"/>
    </row>
    <row r="159" ht="27" customHeight="1" spans="1:60">
      <c r="A159" s="36"/>
      <c r="B159" s="218" t="s">
        <v>254</v>
      </c>
      <c r="C159" s="219" t="s">
        <v>255</v>
      </c>
      <c r="D159" s="220"/>
      <c r="E159" s="229"/>
      <c r="F159" s="219" t="s">
        <v>256</v>
      </c>
      <c r="G159" s="220"/>
      <c r="H159" s="229"/>
      <c r="I159" s="219" t="s">
        <v>257</v>
      </c>
      <c r="J159" s="229"/>
      <c r="K159" s="219" t="s">
        <v>258</v>
      </c>
      <c r="L159" s="220"/>
      <c r="M159" s="229"/>
      <c r="N159" s="261" t="s">
        <v>259</v>
      </c>
      <c r="O159" s="262"/>
      <c r="AK159" s="140"/>
      <c r="AL159" s="140"/>
      <c r="AM159" s="140"/>
      <c r="AN159" s="140"/>
      <c r="AO159" s="140"/>
      <c r="AP159" s="140"/>
      <c r="AQ159" s="140"/>
      <c r="AR159" s="140"/>
      <c r="AS159" s="140"/>
      <c r="AT159" s="140"/>
      <c r="AU159" s="140"/>
      <c r="AV159" s="140"/>
      <c r="AW159" s="140"/>
      <c r="AX159" s="140"/>
      <c r="AY159" s="140"/>
      <c r="AZ159" s="140"/>
      <c r="BA159" s="140"/>
      <c r="BB159" s="140"/>
      <c r="BC159" s="140"/>
      <c r="BD159" s="140"/>
      <c r="BE159" s="140"/>
      <c r="BF159" s="140"/>
      <c r="BG159" s="140"/>
      <c r="BH159" s="140"/>
    </row>
    <row r="160" ht="27" customHeight="1" spans="1:60">
      <c r="A160" s="36"/>
      <c r="B160" s="222"/>
      <c r="C160" s="214">
        <f>M78</f>
        <v>0</v>
      </c>
      <c r="D160" s="215"/>
      <c r="E160" s="216"/>
      <c r="F160" s="214" t="str">
        <f>V73</f>
        <v>不满足</v>
      </c>
      <c r="G160" s="215"/>
      <c r="H160" s="216"/>
      <c r="I160" s="214">
        <f>M86</f>
        <v>0</v>
      </c>
      <c r="J160" s="216"/>
      <c r="K160" s="214" t="str">
        <f>AF81</f>
        <v>不满足</v>
      </c>
      <c r="L160" s="215"/>
      <c r="M160" s="216"/>
      <c r="N160" s="263"/>
      <c r="O160" s="264"/>
      <c r="AK160" s="140"/>
      <c r="AL160" s="140"/>
      <c r="AM160" s="140"/>
      <c r="AN160" s="140"/>
      <c r="AO160" s="140"/>
      <c r="AP160" s="140"/>
      <c r="AQ160" s="140"/>
      <c r="AR160" s="140"/>
      <c r="AS160" s="140"/>
      <c r="AT160" s="140"/>
      <c r="AU160" s="140"/>
      <c r="AV160" s="140"/>
      <c r="AW160" s="140"/>
      <c r="AX160" s="140"/>
      <c r="AY160" s="140"/>
      <c r="AZ160" s="140"/>
      <c r="BA160" s="140"/>
      <c r="BB160" s="140"/>
      <c r="BC160" s="140"/>
      <c r="BD160" s="140"/>
      <c r="BE160" s="140"/>
      <c r="BF160" s="140"/>
      <c r="BG160" s="140"/>
      <c r="BH160" s="140"/>
    </row>
    <row r="161" ht="27" customHeight="1" spans="1:60">
      <c r="A161" s="36"/>
      <c r="B161" s="222"/>
      <c r="C161" s="230" t="s">
        <v>260</v>
      </c>
      <c r="D161" s="231"/>
      <c r="E161" s="232"/>
      <c r="F161" s="233" t="s">
        <v>261</v>
      </c>
      <c r="G161" s="231"/>
      <c r="H161" s="232"/>
      <c r="I161" s="233" t="s">
        <v>262</v>
      </c>
      <c r="J161" s="232"/>
      <c r="K161" s="233" t="s">
        <v>263</v>
      </c>
      <c r="L161" s="231"/>
      <c r="M161" s="232"/>
      <c r="N161" s="265">
        <f>C160+I160+C162+I162</f>
        <v>0</v>
      </c>
      <c r="O161" s="266"/>
      <c r="AK161" s="140"/>
      <c r="AL161" s="140"/>
      <c r="AM161" s="140"/>
      <c r="AN161" s="140"/>
      <c r="AO161" s="140"/>
      <c r="AP161" s="140"/>
      <c r="AQ161" s="140"/>
      <c r="AR161" s="140"/>
      <c r="AS161" s="140"/>
      <c r="AT161" s="140"/>
      <c r="AU161" s="140"/>
      <c r="AV161" s="140"/>
      <c r="AW161" s="140"/>
      <c r="AX161" s="140"/>
      <c r="AY161" s="140"/>
      <c r="AZ161" s="140"/>
      <c r="BA161" s="140"/>
      <c r="BB161" s="140"/>
      <c r="BC161" s="140"/>
      <c r="BD161" s="140"/>
      <c r="BE161" s="140"/>
      <c r="BF161" s="140"/>
      <c r="BG161" s="140"/>
      <c r="BH161" s="140"/>
    </row>
    <row r="162" ht="27" customHeight="1" spans="1:60">
      <c r="A162" s="36"/>
      <c r="B162" s="222"/>
      <c r="C162" s="214">
        <f>M94</f>
        <v>0</v>
      </c>
      <c r="D162" s="215"/>
      <c r="E162" s="216"/>
      <c r="F162" s="214" t="str">
        <f>X89</f>
        <v>不满足</v>
      </c>
      <c r="G162" s="215"/>
      <c r="H162" s="216"/>
      <c r="I162" s="230">
        <f>M100</f>
        <v>0</v>
      </c>
      <c r="J162" s="232"/>
      <c r="K162" s="230" t="str">
        <f>U97</f>
        <v>不满足</v>
      </c>
      <c r="L162" s="231"/>
      <c r="M162" s="232"/>
      <c r="N162" s="267"/>
      <c r="O162" s="268"/>
      <c r="AK162" s="140"/>
      <c r="AL162" s="140"/>
      <c r="AM162" s="140"/>
      <c r="AN162" s="140"/>
      <c r="AO162" s="140"/>
      <c r="AP162" s="140"/>
      <c r="AQ162" s="140"/>
      <c r="AR162" s="140"/>
      <c r="AS162" s="140"/>
      <c r="AT162" s="140"/>
      <c r="AU162" s="140"/>
      <c r="AV162" s="140"/>
      <c r="AW162" s="140"/>
      <c r="AX162" s="140"/>
      <c r="AY162" s="140"/>
      <c r="AZ162" s="140"/>
      <c r="BA162" s="140"/>
      <c r="BB162" s="140"/>
      <c r="BC162" s="140"/>
      <c r="BD162" s="140"/>
      <c r="BE162" s="140"/>
      <c r="BF162" s="140"/>
      <c r="BG162" s="140"/>
      <c r="BH162" s="140"/>
    </row>
    <row r="163" ht="27" customHeight="1" spans="1:60">
      <c r="A163" s="36"/>
      <c r="B163" s="218" t="s">
        <v>264</v>
      </c>
      <c r="C163" s="219" t="s">
        <v>265</v>
      </c>
      <c r="D163" s="229"/>
      <c r="E163" s="219" t="s">
        <v>266</v>
      </c>
      <c r="F163" s="229"/>
      <c r="G163" s="219" t="s">
        <v>267</v>
      </c>
      <c r="H163" s="220"/>
      <c r="I163" s="229"/>
      <c r="J163" s="219" t="s">
        <v>268</v>
      </c>
      <c r="K163" s="229"/>
      <c r="L163" s="219" t="s">
        <v>269</v>
      </c>
      <c r="M163" s="229"/>
      <c r="N163" s="219" t="s">
        <v>270</v>
      </c>
      <c r="O163" s="229"/>
      <c r="P163" s="131"/>
      <c r="Q163" s="131"/>
      <c r="R163" s="131"/>
      <c r="S163" s="279"/>
      <c r="T163" s="131"/>
      <c r="U163" s="131"/>
      <c r="V163" s="131"/>
      <c r="AK163" s="140"/>
      <c r="AL163" s="140"/>
      <c r="AM163" s="140"/>
      <c r="AN163" s="140"/>
      <c r="AO163" s="140"/>
      <c r="AP163" s="140"/>
      <c r="AQ163" s="140"/>
      <c r="AR163" s="140"/>
      <c r="AS163" s="140"/>
      <c r="AT163" s="140"/>
      <c r="AU163" s="140"/>
      <c r="AV163" s="140"/>
      <c r="AW163" s="140"/>
      <c r="AX163" s="140"/>
      <c r="AY163" s="140"/>
      <c r="AZ163" s="140"/>
      <c r="BA163" s="140"/>
      <c r="BB163" s="140"/>
      <c r="BC163" s="140"/>
      <c r="BD163" s="140"/>
      <c r="BE163" s="140"/>
      <c r="BF163" s="140"/>
      <c r="BG163" s="140"/>
      <c r="BH163" s="140"/>
    </row>
    <row r="164" ht="27" customHeight="1" spans="1:60">
      <c r="A164" s="36"/>
      <c r="B164" s="222"/>
      <c r="C164" s="214">
        <f>M107</f>
        <v>0</v>
      </c>
      <c r="D164" s="216"/>
      <c r="E164" s="233">
        <f>M112</f>
        <v>0</v>
      </c>
      <c r="F164" s="234"/>
      <c r="G164" s="219" t="str">
        <f>AF110</f>
        <v>不满足</v>
      </c>
      <c r="H164" s="220"/>
      <c r="I164" s="229"/>
      <c r="J164" s="233">
        <f>M119</f>
        <v>0</v>
      </c>
      <c r="K164" s="234"/>
      <c r="L164" s="233">
        <f>M124</f>
        <v>0</v>
      </c>
      <c r="M164" s="234"/>
      <c r="N164" s="219" t="str">
        <f>AC115</f>
        <v>不满足</v>
      </c>
      <c r="O164" s="229"/>
      <c r="P164" s="32"/>
      <c r="Q164" s="32"/>
      <c r="S164" s="32"/>
      <c r="AK164" s="140"/>
      <c r="AL164" s="140"/>
      <c r="AM164" s="140"/>
      <c r="AN164" s="140"/>
      <c r="AO164" s="140"/>
      <c r="AP164" s="140"/>
      <c r="AQ164" s="140"/>
      <c r="AR164" s="140"/>
      <c r="AS164" s="140"/>
      <c r="AT164" s="140"/>
      <c r="AU164" s="140"/>
      <c r="AV164" s="140"/>
      <c r="AW164" s="140"/>
      <c r="AX164" s="140"/>
      <c r="AY164" s="140"/>
      <c r="AZ164" s="140"/>
      <c r="BA164" s="140"/>
      <c r="BB164" s="140"/>
      <c r="BC164" s="140"/>
      <c r="BD164" s="140"/>
      <c r="BE164" s="140"/>
      <c r="BF164" s="140"/>
      <c r="BG164" s="140"/>
      <c r="BH164" s="140"/>
    </row>
    <row r="165" ht="33" customHeight="1" spans="1:60">
      <c r="A165" s="36"/>
      <c r="B165" s="222"/>
      <c r="C165" s="226" t="s">
        <v>271</v>
      </c>
      <c r="D165" s="235"/>
      <c r="E165" s="226" t="s">
        <v>272</v>
      </c>
      <c r="F165" s="227"/>
      <c r="G165" s="235"/>
      <c r="H165" s="226" t="s">
        <v>273</v>
      </c>
      <c r="I165" s="235"/>
      <c r="J165" s="226" t="s">
        <v>274</v>
      </c>
      <c r="K165" s="235"/>
      <c r="L165" s="269" t="s">
        <v>275</v>
      </c>
      <c r="M165" s="270" t="s">
        <v>276</v>
      </c>
      <c r="N165" s="271" t="s">
        <v>277</v>
      </c>
      <c r="O165" s="272"/>
      <c r="AK165" s="140"/>
      <c r="AL165" s="140"/>
      <c r="AM165" s="140"/>
      <c r="AN165" s="140"/>
      <c r="AO165" s="140"/>
      <c r="AP165" s="140"/>
      <c r="AQ165" s="140"/>
      <c r="AR165" s="140"/>
      <c r="AS165" s="140"/>
      <c r="AT165" s="140"/>
      <c r="AU165" s="140"/>
      <c r="AV165" s="140"/>
      <c r="AW165" s="140"/>
      <c r="AX165" s="140"/>
      <c r="AY165" s="140"/>
      <c r="AZ165" s="140"/>
      <c r="BA165" s="140"/>
      <c r="BB165" s="140"/>
      <c r="BC165" s="140"/>
      <c r="BD165" s="140"/>
      <c r="BE165" s="140"/>
      <c r="BF165" s="140"/>
      <c r="BG165" s="140"/>
      <c r="BH165" s="140"/>
    </row>
    <row r="166" ht="27" customHeight="1" spans="1:60">
      <c r="A166" s="36"/>
      <c r="B166" s="222"/>
      <c r="C166" s="236">
        <f>M129</f>
        <v>0</v>
      </c>
      <c r="D166" s="237"/>
      <c r="E166" s="236" t="str">
        <f>Z127</f>
        <v>不满足</v>
      </c>
      <c r="F166" s="238"/>
      <c r="G166" s="237"/>
      <c r="H166" s="236">
        <f>M134</f>
        <v>0</v>
      </c>
      <c r="I166" s="237"/>
      <c r="J166" s="236" t="str">
        <f>T132</f>
        <v>不满足</v>
      </c>
      <c r="K166" s="237"/>
      <c r="L166" s="273">
        <f>M139</f>
        <v>0</v>
      </c>
      <c r="M166" s="274">
        <f>M144</f>
        <v>0</v>
      </c>
      <c r="N166" s="242">
        <f>C164+E164+J164+L164+C166+H166+L166+M166</f>
        <v>0</v>
      </c>
      <c r="O166" s="241"/>
      <c r="AK166" s="140"/>
      <c r="AL166" s="140"/>
      <c r="AM166" s="140"/>
      <c r="AN166" s="140"/>
      <c r="AO166" s="140"/>
      <c r="AP166" s="140"/>
      <c r="AQ166" s="140"/>
      <c r="AR166" s="140"/>
      <c r="AS166" s="140"/>
      <c r="AT166" s="140"/>
      <c r="AU166" s="140"/>
      <c r="AV166" s="140"/>
      <c r="AW166" s="140"/>
      <c r="AX166" s="140"/>
      <c r="AY166" s="140"/>
      <c r="AZ166" s="140"/>
      <c r="BA166" s="140"/>
      <c r="BB166" s="140"/>
      <c r="BC166" s="140"/>
      <c r="BD166" s="140"/>
      <c r="BE166" s="140"/>
      <c r="BF166" s="140"/>
      <c r="BG166" s="140"/>
      <c r="BH166" s="140"/>
    </row>
    <row r="167" ht="32" customHeight="1" spans="1:60">
      <c r="A167" s="36"/>
      <c r="B167" s="239" t="s">
        <v>278</v>
      </c>
      <c r="C167" s="240" t="s">
        <v>279</v>
      </c>
      <c r="D167" s="241"/>
      <c r="E167" s="226" t="s">
        <v>280</v>
      </c>
      <c r="F167" s="235"/>
      <c r="G167" s="226" t="s">
        <v>281</v>
      </c>
      <c r="H167" s="235"/>
      <c r="I167" s="275" t="s">
        <v>282</v>
      </c>
      <c r="J167" s="276"/>
      <c r="K167" s="275" t="s">
        <v>283</v>
      </c>
      <c r="L167" s="277"/>
      <c r="M167" s="277"/>
      <c r="N167" s="277"/>
      <c r="O167" s="276"/>
      <c r="P167" s="130" t="s">
        <v>284</v>
      </c>
      <c r="Q167" s="130" t="s">
        <v>285</v>
      </c>
      <c r="R167" s="185" t="s">
        <v>286</v>
      </c>
      <c r="S167" s="186"/>
      <c r="T167" s="185" t="s">
        <v>287</v>
      </c>
      <c r="U167" s="280"/>
      <c r="AK167" s="140"/>
      <c r="AL167" s="140"/>
      <c r="AM167" s="140"/>
      <c r="AN167" s="140"/>
      <c r="AO167" s="140"/>
      <c r="AP167" s="140"/>
      <c r="AQ167" s="140"/>
      <c r="AR167" s="140"/>
      <c r="AS167" s="140"/>
      <c r="AT167" s="140"/>
      <c r="AU167" s="140"/>
      <c r="AV167" s="140"/>
      <c r="AW167" s="140"/>
      <c r="AX167" s="140"/>
      <c r="AY167" s="140"/>
      <c r="AZ167" s="140"/>
      <c r="BA167" s="140"/>
      <c r="BB167" s="140"/>
      <c r="BC167" s="140"/>
      <c r="BD167" s="140"/>
      <c r="BE167" s="140"/>
      <c r="BF167" s="140"/>
      <c r="BG167" s="140"/>
      <c r="BH167" s="140"/>
    </row>
    <row r="168" ht="27" customHeight="1" spans="1:60">
      <c r="A168" s="36"/>
      <c r="B168" s="239"/>
      <c r="C168" s="242">
        <f>IF(M150&gt;20,20,M150)</f>
        <v>0</v>
      </c>
      <c r="D168" s="241"/>
      <c r="E168" s="236" t="str">
        <f ca="1">IF(P168=2,"满足","不满足")</f>
        <v>不满足</v>
      </c>
      <c r="F168" s="237"/>
      <c r="G168" s="236" t="str">
        <f>IF(Q168=5,"满足","不满足")</f>
        <v>不满足</v>
      </c>
      <c r="H168" s="237"/>
      <c r="I168" s="236" t="str">
        <f>IF(R168&gt;0,"满足","不满足")</f>
        <v>不满足</v>
      </c>
      <c r="J168" s="237"/>
      <c r="K168" s="236" t="str">
        <f>IF(T168&gt;0,"满足","不满足")</f>
        <v>不满足</v>
      </c>
      <c r="L168" s="238"/>
      <c r="M168" s="238"/>
      <c r="N168" s="238"/>
      <c r="O168" s="237"/>
      <c r="P168" s="32">
        <f ca="1">COUNTIF(C154:M154,"满足")</f>
        <v>0</v>
      </c>
      <c r="Q168" s="32">
        <f>COUNTIF(C156:O158,"满足")</f>
        <v>0</v>
      </c>
      <c r="R168" s="188">
        <f>COUNTIF(C159:M162,"满足")</f>
        <v>0</v>
      </c>
      <c r="S168" s="189"/>
      <c r="T168" s="188">
        <f>COUNTIF(C164:O166,"满足")</f>
        <v>0</v>
      </c>
      <c r="U168" s="189"/>
      <c r="AK168" s="140"/>
      <c r="AL168" s="140"/>
      <c r="AM168" s="140"/>
      <c r="AN168" s="140"/>
      <c r="AO168" s="140"/>
      <c r="AP168" s="140"/>
      <c r="AQ168" s="140"/>
      <c r="AR168" s="140"/>
      <c r="AS168" s="140"/>
      <c r="AT168" s="140"/>
      <c r="AU168" s="140"/>
      <c r="AV168" s="140"/>
      <c r="AW168" s="140"/>
      <c r="AX168" s="140"/>
      <c r="AY168" s="140"/>
      <c r="AZ168" s="140"/>
      <c r="BA168" s="140"/>
      <c r="BB168" s="140"/>
      <c r="BC168" s="140"/>
      <c r="BD168" s="140"/>
      <c r="BE168" s="140"/>
      <c r="BF168" s="140"/>
      <c r="BG168" s="140"/>
      <c r="BH168" s="140"/>
    </row>
    <row r="169" ht="27" customHeight="1" spans="1:60">
      <c r="A169" s="36"/>
      <c r="B169" s="243" t="s">
        <v>288</v>
      </c>
      <c r="C169" s="244"/>
      <c r="D169" s="244"/>
      <c r="E169" s="245"/>
      <c r="F169" s="243" t="str">
        <f ca="1">IF(COUNTIF(E168:O168,"不满足")&gt;0,"否","是")</f>
        <v>否</v>
      </c>
      <c r="G169" s="245"/>
      <c r="H169" s="243" t="s">
        <v>289</v>
      </c>
      <c r="I169" s="244"/>
      <c r="J169" s="245"/>
      <c r="K169" s="278">
        <f ca="1">N154+N158+N161+N166+C168</f>
        <v>0</v>
      </c>
      <c r="L169" s="278"/>
      <c r="M169" s="278"/>
      <c r="N169" s="278"/>
      <c r="O169" s="278"/>
      <c r="AK169" s="140"/>
      <c r="AL169" s="140"/>
      <c r="AM169" s="140"/>
      <c r="AN169" s="140"/>
      <c r="AO169" s="140"/>
      <c r="AP169" s="140"/>
      <c r="AQ169" s="140"/>
      <c r="AR169" s="140"/>
      <c r="AS169" s="140"/>
      <c r="AT169" s="140"/>
      <c r="AU169" s="140"/>
      <c r="AV169" s="140"/>
      <c r="AW169" s="140"/>
      <c r="AX169" s="140"/>
      <c r="AY169" s="140"/>
      <c r="AZ169" s="140"/>
      <c r="BA169" s="140"/>
      <c r="BB169" s="140"/>
      <c r="BC169" s="140"/>
      <c r="BD169" s="140"/>
      <c r="BE169" s="140"/>
      <c r="BF169" s="140"/>
      <c r="BG169" s="140"/>
      <c r="BH169" s="140"/>
    </row>
    <row r="170" ht="129" customHeight="1" spans="1:60">
      <c r="A170" s="36"/>
      <c r="B170" s="155" t="s">
        <v>290</v>
      </c>
      <c r="C170" s="246" t="s">
        <v>291</v>
      </c>
      <c r="D170" s="246"/>
      <c r="E170" s="246"/>
      <c r="F170" s="246"/>
      <c r="G170" s="246"/>
      <c r="H170" s="246"/>
      <c r="I170" s="246"/>
      <c r="J170" s="246"/>
      <c r="K170" s="246"/>
      <c r="L170" s="246"/>
      <c r="M170" s="246"/>
      <c r="N170" s="246"/>
      <c r="O170" s="246"/>
      <c r="AK170" s="140"/>
      <c r="AL170" s="140"/>
      <c r="AM170" s="140"/>
      <c r="AN170" s="140"/>
      <c r="AO170" s="140"/>
      <c r="AP170" s="140"/>
      <c r="AQ170" s="140"/>
      <c r="AR170" s="140"/>
      <c r="AS170" s="140"/>
      <c r="AT170" s="140"/>
      <c r="AU170" s="140"/>
      <c r="AV170" s="140"/>
      <c r="AW170" s="140"/>
      <c r="AX170" s="140"/>
      <c r="AY170" s="140"/>
      <c r="AZ170" s="140"/>
      <c r="BA170" s="140"/>
      <c r="BB170" s="140"/>
      <c r="BC170" s="140"/>
      <c r="BD170" s="140"/>
      <c r="BE170" s="140"/>
      <c r="BF170" s="140"/>
      <c r="BG170" s="140"/>
      <c r="BH170" s="140"/>
    </row>
    <row r="171" ht="129" customHeight="1" spans="1:60">
      <c r="A171" s="36"/>
      <c r="B171" s="155" t="s">
        <v>292</v>
      </c>
      <c r="C171" s="246" t="s">
        <v>293</v>
      </c>
      <c r="D171" s="246"/>
      <c r="E171" s="246"/>
      <c r="F171" s="246"/>
      <c r="G171" s="246"/>
      <c r="H171" s="246"/>
      <c r="I171" s="246"/>
      <c r="J171" s="246"/>
      <c r="K171" s="246"/>
      <c r="L171" s="246"/>
      <c r="M171" s="246"/>
      <c r="N171" s="246"/>
      <c r="O171" s="246"/>
      <c r="AK171" s="140"/>
      <c r="AL171" s="140"/>
      <c r="AM171" s="140"/>
      <c r="AN171" s="140"/>
      <c r="AO171" s="140"/>
      <c r="AP171" s="140"/>
      <c r="AQ171" s="140"/>
      <c r="AR171" s="140"/>
      <c r="AS171" s="140"/>
      <c r="AT171" s="140"/>
      <c r="AU171" s="140"/>
      <c r="AV171" s="140"/>
      <c r="AW171" s="140"/>
      <c r="AX171" s="140"/>
      <c r="AY171" s="140"/>
      <c r="AZ171" s="140"/>
      <c r="BA171" s="140"/>
      <c r="BB171" s="140"/>
      <c r="BC171" s="140"/>
      <c r="BD171" s="140"/>
      <c r="BE171" s="140"/>
      <c r="BF171" s="140"/>
      <c r="BG171" s="140"/>
      <c r="BH171" s="140"/>
    </row>
    <row r="172" ht="129" customHeight="1" spans="1:60">
      <c r="A172" s="36"/>
      <c r="B172" s="155" t="s">
        <v>294</v>
      </c>
      <c r="C172" s="246" t="s">
        <v>295</v>
      </c>
      <c r="D172" s="246"/>
      <c r="E172" s="246"/>
      <c r="F172" s="246"/>
      <c r="G172" s="246"/>
      <c r="H172" s="246"/>
      <c r="I172" s="246"/>
      <c r="J172" s="246"/>
      <c r="K172" s="246"/>
      <c r="L172" s="246"/>
      <c r="M172" s="246"/>
      <c r="N172" s="246"/>
      <c r="O172" s="246"/>
      <c r="AK172" s="140"/>
      <c r="AL172" s="140"/>
      <c r="AM172" s="140"/>
      <c r="AN172" s="140"/>
      <c r="AO172" s="140"/>
      <c r="AP172" s="140"/>
      <c r="AQ172" s="140"/>
      <c r="AR172" s="140"/>
      <c r="AS172" s="140"/>
      <c r="AT172" s="140"/>
      <c r="AU172" s="140"/>
      <c r="AV172" s="140"/>
      <c r="AW172" s="140"/>
      <c r="AX172" s="140"/>
      <c r="AY172" s="140"/>
      <c r="AZ172" s="140"/>
      <c r="BA172" s="140"/>
      <c r="BB172" s="140"/>
      <c r="BC172" s="140"/>
      <c r="BD172" s="140"/>
      <c r="BE172" s="140"/>
      <c r="BF172" s="140"/>
      <c r="BG172" s="140"/>
      <c r="BH172" s="140"/>
    </row>
    <row r="173" s="27" customFormat="1" spans="1:72">
      <c r="A173" s="140"/>
      <c r="B173" s="140"/>
      <c r="C173" s="140"/>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c r="AB173" s="140"/>
      <c r="AC173" s="140"/>
      <c r="AD173" s="140"/>
      <c r="AE173" s="140"/>
      <c r="AF173" s="140"/>
      <c r="AG173" s="140"/>
      <c r="AH173" s="140"/>
      <c r="AI173" s="140"/>
      <c r="AJ173" s="140"/>
      <c r="AK173" s="140"/>
      <c r="AL173" s="140"/>
      <c r="AM173" s="140"/>
      <c r="AN173" s="140"/>
      <c r="AO173" s="140"/>
      <c r="AP173" s="140"/>
      <c r="AQ173" s="140"/>
      <c r="AR173" s="140"/>
      <c r="AS173" s="140"/>
      <c r="AT173" s="140"/>
      <c r="AU173" s="140"/>
      <c r="AV173" s="140"/>
      <c r="AW173" s="140"/>
      <c r="AX173" s="140"/>
      <c r="AY173" s="140"/>
      <c r="AZ173" s="140"/>
      <c r="BA173" s="140"/>
      <c r="BB173" s="140"/>
      <c r="BC173" s="140"/>
      <c r="BD173" s="140"/>
      <c r="BE173" s="140"/>
      <c r="BF173" s="140"/>
      <c r="BG173" s="140"/>
      <c r="BH173" s="140"/>
      <c r="BI173" s="35"/>
      <c r="BJ173" s="35"/>
      <c r="BK173" s="35"/>
      <c r="BL173" s="35"/>
      <c r="BM173" s="35"/>
      <c r="BN173" s="35"/>
      <c r="BO173" s="35"/>
      <c r="BP173" s="35"/>
      <c r="BQ173" s="35"/>
      <c r="BR173" s="35"/>
      <c r="BS173" s="35"/>
      <c r="BT173" s="281"/>
    </row>
    <row r="174" s="27" customFormat="1" spans="1:72">
      <c r="A174" s="140"/>
      <c r="B174" s="140"/>
      <c r="C174" s="140"/>
      <c r="D174" s="140"/>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c r="AA174" s="140"/>
      <c r="AB174" s="140"/>
      <c r="AC174" s="140"/>
      <c r="AD174" s="140"/>
      <c r="AE174" s="140"/>
      <c r="AF174" s="140"/>
      <c r="AG174" s="140"/>
      <c r="AH174" s="140"/>
      <c r="AI174" s="140"/>
      <c r="AJ174" s="140"/>
      <c r="AK174" s="140"/>
      <c r="AL174" s="140"/>
      <c r="AM174" s="140"/>
      <c r="AN174" s="140"/>
      <c r="AO174" s="140"/>
      <c r="AP174" s="140"/>
      <c r="AQ174" s="140"/>
      <c r="AR174" s="140"/>
      <c r="AS174" s="140"/>
      <c r="AT174" s="140"/>
      <c r="AU174" s="140"/>
      <c r="AV174" s="140"/>
      <c r="AW174" s="140"/>
      <c r="AX174" s="140"/>
      <c r="AY174" s="140"/>
      <c r="AZ174" s="140"/>
      <c r="BA174" s="140"/>
      <c r="BB174" s="140"/>
      <c r="BC174" s="140"/>
      <c r="BD174" s="140"/>
      <c r="BE174" s="140"/>
      <c r="BF174" s="140"/>
      <c r="BG174" s="140"/>
      <c r="BH174" s="140"/>
      <c r="BI174" s="35"/>
      <c r="BJ174" s="35"/>
      <c r="BK174" s="35"/>
      <c r="BL174" s="35"/>
      <c r="BM174" s="35"/>
      <c r="BN174" s="35"/>
      <c r="BO174" s="35"/>
      <c r="BP174" s="35"/>
      <c r="BQ174" s="35"/>
      <c r="BR174" s="35"/>
      <c r="BS174" s="35"/>
      <c r="BT174" s="281"/>
    </row>
    <row r="175" s="27" customFormat="1" spans="1:72">
      <c r="A175" s="140"/>
      <c r="B175" s="140"/>
      <c r="C175" s="140"/>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c r="AB175" s="140"/>
      <c r="AC175" s="140"/>
      <c r="AD175" s="140"/>
      <c r="AE175" s="140"/>
      <c r="AF175" s="140"/>
      <c r="AG175" s="140"/>
      <c r="AH175" s="140"/>
      <c r="AI175" s="140"/>
      <c r="AJ175" s="140"/>
      <c r="AK175" s="140"/>
      <c r="AL175" s="140"/>
      <c r="AM175" s="140"/>
      <c r="AN175" s="140"/>
      <c r="AO175" s="140"/>
      <c r="AP175" s="140"/>
      <c r="AQ175" s="140"/>
      <c r="AR175" s="140"/>
      <c r="AS175" s="140"/>
      <c r="AT175" s="140"/>
      <c r="AU175" s="140"/>
      <c r="AV175" s="140"/>
      <c r="AW175" s="140"/>
      <c r="AX175" s="140"/>
      <c r="AY175" s="140"/>
      <c r="AZ175" s="140"/>
      <c r="BA175" s="140"/>
      <c r="BB175" s="140"/>
      <c r="BI175" s="35"/>
      <c r="BJ175" s="35"/>
      <c r="BK175" s="35"/>
      <c r="BL175" s="35"/>
      <c r="BM175" s="35"/>
      <c r="BN175" s="35"/>
      <c r="BO175" s="35"/>
      <c r="BP175" s="35"/>
      <c r="BQ175" s="35"/>
      <c r="BR175" s="35"/>
      <c r="BS175" s="35"/>
      <c r="BT175" s="281"/>
    </row>
    <row r="176" s="27" customFormat="1" spans="1:72">
      <c r="A176" s="140"/>
      <c r="B176" s="140"/>
      <c r="C176" s="140"/>
      <c r="D176" s="140"/>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c r="AA176" s="140"/>
      <c r="AB176" s="140"/>
      <c r="AC176" s="140"/>
      <c r="AD176" s="140"/>
      <c r="AE176" s="140"/>
      <c r="AF176" s="140"/>
      <c r="AG176" s="140"/>
      <c r="AH176" s="140"/>
      <c r="AI176" s="140"/>
      <c r="AJ176" s="140"/>
      <c r="AK176" s="140"/>
      <c r="AL176" s="140"/>
      <c r="AM176" s="140"/>
      <c r="AN176" s="140"/>
      <c r="AO176" s="140"/>
      <c r="AP176" s="140"/>
      <c r="AQ176" s="140"/>
      <c r="AR176" s="140"/>
      <c r="AS176" s="140"/>
      <c r="AT176" s="140"/>
      <c r="AU176" s="140"/>
      <c r="AV176" s="140"/>
      <c r="AW176" s="140"/>
      <c r="AX176" s="140"/>
      <c r="AY176" s="140"/>
      <c r="AZ176" s="140"/>
      <c r="BA176" s="140"/>
      <c r="BB176" s="140"/>
      <c r="BI176" s="35"/>
      <c r="BJ176" s="35"/>
      <c r="BK176" s="35"/>
      <c r="BL176" s="35"/>
      <c r="BM176" s="35"/>
      <c r="BN176" s="35"/>
      <c r="BO176" s="35"/>
      <c r="BP176" s="35"/>
      <c r="BQ176" s="35"/>
      <c r="BR176" s="35"/>
      <c r="BS176" s="35"/>
      <c r="BT176" s="281"/>
    </row>
    <row r="177" s="27" customFormat="1" spans="1:72">
      <c r="A177" s="140"/>
      <c r="B177" s="140"/>
      <c r="C177" s="140"/>
      <c r="D177" s="140"/>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c r="AA177" s="140"/>
      <c r="AB177" s="140"/>
      <c r="AC177" s="140"/>
      <c r="AD177" s="140"/>
      <c r="AE177" s="140"/>
      <c r="AF177" s="140"/>
      <c r="AG177" s="140"/>
      <c r="AH177" s="140"/>
      <c r="AI177" s="140"/>
      <c r="AJ177" s="140"/>
      <c r="AK177" s="140"/>
      <c r="AL177" s="140"/>
      <c r="AM177" s="140"/>
      <c r="AN177" s="140"/>
      <c r="AO177" s="140"/>
      <c r="AP177" s="140"/>
      <c r="AQ177" s="140"/>
      <c r="AR177" s="140"/>
      <c r="AS177" s="140"/>
      <c r="AT177" s="140"/>
      <c r="AU177" s="140"/>
      <c r="AV177" s="140"/>
      <c r="AW177" s="140"/>
      <c r="AX177" s="140"/>
      <c r="AY177" s="140"/>
      <c r="AZ177" s="140"/>
      <c r="BA177" s="140"/>
      <c r="BB177" s="140"/>
      <c r="BI177" s="35"/>
      <c r="BJ177" s="35"/>
      <c r="BK177" s="35"/>
      <c r="BL177" s="35"/>
      <c r="BM177" s="35"/>
      <c r="BN177" s="35"/>
      <c r="BO177" s="35"/>
      <c r="BP177" s="35"/>
      <c r="BQ177" s="35"/>
      <c r="BR177" s="35"/>
      <c r="BS177" s="35"/>
      <c r="BT177" s="281"/>
    </row>
    <row r="178" s="27" customFormat="1" spans="1:72">
      <c r="A178" s="140"/>
      <c r="B178" s="140"/>
      <c r="C178" s="140"/>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c r="AA178" s="140"/>
      <c r="AB178" s="140"/>
      <c r="AC178" s="140"/>
      <c r="AD178" s="140"/>
      <c r="AE178" s="140"/>
      <c r="AF178" s="140"/>
      <c r="AG178" s="140"/>
      <c r="AH178" s="140"/>
      <c r="AI178" s="140"/>
      <c r="AJ178" s="140"/>
      <c r="AK178" s="140"/>
      <c r="AL178" s="140"/>
      <c r="AM178" s="140"/>
      <c r="AN178" s="140"/>
      <c r="AO178" s="140"/>
      <c r="AP178" s="140"/>
      <c r="AQ178" s="140"/>
      <c r="AR178" s="140"/>
      <c r="AS178" s="140"/>
      <c r="AT178" s="140"/>
      <c r="AU178" s="140"/>
      <c r="AV178" s="140"/>
      <c r="AW178" s="140"/>
      <c r="AX178" s="140"/>
      <c r="AY178" s="140"/>
      <c r="AZ178" s="140"/>
      <c r="BA178" s="140"/>
      <c r="BB178" s="140"/>
      <c r="BI178" s="35"/>
      <c r="BJ178" s="35"/>
      <c r="BK178" s="35"/>
      <c r="BL178" s="35"/>
      <c r="BM178" s="35"/>
      <c r="BN178" s="35"/>
      <c r="BO178" s="35"/>
      <c r="BP178" s="35"/>
      <c r="BQ178" s="35"/>
      <c r="BR178" s="35"/>
      <c r="BS178" s="35"/>
      <c r="BT178" s="281"/>
    </row>
    <row r="179" s="27" customFormat="1" spans="1:72">
      <c r="A179" s="140"/>
      <c r="B179" s="140"/>
      <c r="C179" s="140"/>
      <c r="D179" s="140"/>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c r="AA179" s="140"/>
      <c r="AB179" s="140"/>
      <c r="AC179" s="140"/>
      <c r="AD179" s="140"/>
      <c r="AE179" s="140"/>
      <c r="AF179" s="140"/>
      <c r="AG179" s="140"/>
      <c r="AH179" s="140"/>
      <c r="AI179" s="140"/>
      <c r="AJ179" s="140"/>
      <c r="AK179" s="140"/>
      <c r="AL179" s="140"/>
      <c r="AM179" s="140"/>
      <c r="AN179" s="140"/>
      <c r="AO179" s="140"/>
      <c r="AP179" s="140"/>
      <c r="AQ179" s="140"/>
      <c r="AR179" s="140"/>
      <c r="AS179" s="140"/>
      <c r="AT179" s="140"/>
      <c r="AU179" s="140"/>
      <c r="AV179" s="140"/>
      <c r="AW179" s="140"/>
      <c r="AX179" s="140"/>
      <c r="AY179" s="140"/>
      <c r="AZ179" s="140"/>
      <c r="BA179" s="140"/>
      <c r="BB179" s="140"/>
      <c r="BI179" s="35"/>
      <c r="BJ179" s="35"/>
      <c r="BK179" s="35"/>
      <c r="BL179" s="35"/>
      <c r="BM179" s="35"/>
      <c r="BN179" s="35"/>
      <c r="BO179" s="35"/>
      <c r="BP179" s="35"/>
      <c r="BQ179" s="35"/>
      <c r="BR179" s="35"/>
      <c r="BS179" s="35"/>
      <c r="BT179" s="281"/>
    </row>
    <row r="180" s="27" customFormat="1" spans="1:72">
      <c r="A180" s="140"/>
      <c r="B180" s="140"/>
      <c r="C180" s="140"/>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c r="AA180" s="140"/>
      <c r="AB180" s="140"/>
      <c r="AC180" s="140"/>
      <c r="AD180" s="140"/>
      <c r="AE180" s="140"/>
      <c r="AF180" s="140"/>
      <c r="AG180" s="140"/>
      <c r="AH180" s="140"/>
      <c r="AI180" s="140"/>
      <c r="AJ180" s="140"/>
      <c r="AK180" s="140"/>
      <c r="AL180" s="140"/>
      <c r="AM180" s="140"/>
      <c r="AN180" s="140"/>
      <c r="AO180" s="140"/>
      <c r="AP180" s="140"/>
      <c r="AQ180" s="140"/>
      <c r="AR180" s="140"/>
      <c r="AS180" s="140"/>
      <c r="AT180" s="140"/>
      <c r="AU180" s="140"/>
      <c r="AV180" s="140"/>
      <c r="AW180" s="140"/>
      <c r="AX180" s="140"/>
      <c r="AY180" s="140"/>
      <c r="AZ180" s="140"/>
      <c r="BA180" s="140"/>
      <c r="BB180" s="140"/>
      <c r="BI180" s="35"/>
      <c r="BJ180" s="35"/>
      <c r="BK180" s="35"/>
      <c r="BL180" s="35"/>
      <c r="BM180" s="35"/>
      <c r="BN180" s="35"/>
      <c r="BO180" s="35"/>
      <c r="BP180" s="35"/>
      <c r="BQ180" s="35"/>
      <c r="BR180" s="35"/>
      <c r="BS180" s="35"/>
      <c r="BT180" s="281"/>
    </row>
    <row r="181" s="27" customFormat="1" spans="1:72">
      <c r="A181" s="140"/>
      <c r="B181" s="140"/>
      <c r="C181" s="140"/>
      <c r="D181" s="140"/>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c r="AA181" s="140"/>
      <c r="AB181" s="140"/>
      <c r="AC181" s="140"/>
      <c r="AD181" s="140"/>
      <c r="AE181" s="140"/>
      <c r="AF181" s="140"/>
      <c r="AG181" s="140"/>
      <c r="AH181" s="140"/>
      <c r="AI181" s="140"/>
      <c r="AJ181" s="140"/>
      <c r="AK181" s="140"/>
      <c r="AL181" s="140"/>
      <c r="AM181" s="140"/>
      <c r="AN181" s="140"/>
      <c r="AO181" s="140"/>
      <c r="AP181" s="140"/>
      <c r="AQ181" s="140"/>
      <c r="AR181" s="140"/>
      <c r="AS181" s="140"/>
      <c r="AT181" s="140"/>
      <c r="AU181" s="140"/>
      <c r="AV181" s="140"/>
      <c r="AW181" s="140"/>
      <c r="AX181" s="140"/>
      <c r="AY181" s="140"/>
      <c r="AZ181" s="140"/>
      <c r="BA181" s="140"/>
      <c r="BB181" s="140"/>
      <c r="BI181" s="35"/>
      <c r="BJ181" s="35"/>
      <c r="BK181" s="35"/>
      <c r="BL181" s="35"/>
      <c r="BM181" s="35"/>
      <c r="BN181" s="35"/>
      <c r="BO181" s="35"/>
      <c r="BP181" s="35"/>
      <c r="BQ181" s="35"/>
      <c r="BR181" s="35"/>
      <c r="BS181" s="35"/>
      <c r="BT181" s="281"/>
    </row>
    <row r="182" s="27" customFormat="1" spans="1:72">
      <c r="A182" s="140"/>
      <c r="B182" s="140"/>
      <c r="C182" s="140"/>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c r="AA182" s="140"/>
      <c r="AB182" s="140"/>
      <c r="AC182" s="140"/>
      <c r="AD182" s="140"/>
      <c r="AE182" s="140"/>
      <c r="AF182" s="140"/>
      <c r="AG182" s="140"/>
      <c r="AH182" s="140"/>
      <c r="AI182" s="140"/>
      <c r="AJ182" s="140"/>
      <c r="AK182" s="140"/>
      <c r="AL182" s="140"/>
      <c r="AM182" s="140"/>
      <c r="AN182" s="140"/>
      <c r="AO182" s="140"/>
      <c r="AP182" s="140"/>
      <c r="AQ182" s="140"/>
      <c r="AR182" s="140"/>
      <c r="AS182" s="140"/>
      <c r="AT182" s="140"/>
      <c r="AU182" s="140"/>
      <c r="AV182" s="140"/>
      <c r="AW182" s="140"/>
      <c r="AX182" s="140"/>
      <c r="AY182" s="140"/>
      <c r="AZ182" s="140"/>
      <c r="BA182" s="140"/>
      <c r="BB182" s="140"/>
      <c r="BI182" s="35"/>
      <c r="BJ182" s="35"/>
      <c r="BK182" s="35"/>
      <c r="BL182" s="35"/>
      <c r="BM182" s="35"/>
      <c r="BN182" s="35"/>
      <c r="BO182" s="35"/>
      <c r="BP182" s="35"/>
      <c r="BQ182" s="35"/>
      <c r="BR182" s="35"/>
      <c r="BS182" s="35"/>
      <c r="BT182" s="281"/>
    </row>
    <row r="183" s="27" customFormat="1" spans="1:72">
      <c r="A183" s="140"/>
      <c r="B183" s="140"/>
      <c r="C183" s="140"/>
      <c r="D183" s="140"/>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c r="AA183" s="140"/>
      <c r="AB183" s="140"/>
      <c r="AC183" s="140"/>
      <c r="AD183" s="140"/>
      <c r="AE183" s="140"/>
      <c r="AF183" s="140"/>
      <c r="AG183" s="140"/>
      <c r="AH183" s="140"/>
      <c r="AI183" s="140"/>
      <c r="AJ183" s="140"/>
      <c r="AK183" s="140"/>
      <c r="AL183" s="140"/>
      <c r="AM183" s="140"/>
      <c r="AN183" s="140"/>
      <c r="AO183" s="140"/>
      <c r="AP183" s="140"/>
      <c r="AQ183" s="140"/>
      <c r="AR183" s="140"/>
      <c r="AS183" s="140"/>
      <c r="AT183" s="140"/>
      <c r="AU183" s="140"/>
      <c r="AV183" s="140"/>
      <c r="AW183" s="140"/>
      <c r="AX183" s="140"/>
      <c r="AY183" s="140"/>
      <c r="AZ183" s="140"/>
      <c r="BA183" s="140"/>
      <c r="BB183" s="140"/>
      <c r="BI183" s="35"/>
      <c r="BJ183" s="35"/>
      <c r="BK183" s="35"/>
      <c r="BL183" s="35"/>
      <c r="BM183" s="35"/>
      <c r="BN183" s="35"/>
      <c r="BO183" s="35"/>
      <c r="BP183" s="35"/>
      <c r="BQ183" s="35"/>
      <c r="BR183" s="35"/>
      <c r="BS183" s="35"/>
      <c r="BT183" s="281"/>
    </row>
    <row r="184" s="27" customFormat="1" spans="1:72">
      <c r="A184" s="140"/>
      <c r="B184" s="140"/>
      <c r="C184" s="140"/>
      <c r="D184" s="140"/>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c r="AA184" s="140"/>
      <c r="AB184" s="140"/>
      <c r="AC184" s="140"/>
      <c r="AD184" s="140"/>
      <c r="AE184" s="140"/>
      <c r="AF184" s="140"/>
      <c r="AG184" s="140"/>
      <c r="AH184" s="140"/>
      <c r="AI184" s="140"/>
      <c r="AJ184" s="140"/>
      <c r="AK184" s="140"/>
      <c r="AL184" s="140"/>
      <c r="AM184" s="140"/>
      <c r="AN184" s="140"/>
      <c r="AO184" s="140"/>
      <c r="AP184" s="140"/>
      <c r="AQ184" s="140"/>
      <c r="AR184" s="140"/>
      <c r="AS184" s="140"/>
      <c r="AT184" s="140"/>
      <c r="AU184" s="140"/>
      <c r="AV184" s="140"/>
      <c r="AW184" s="140"/>
      <c r="AX184" s="140"/>
      <c r="AY184" s="140"/>
      <c r="AZ184" s="140"/>
      <c r="BA184" s="140"/>
      <c r="BB184" s="140"/>
      <c r="BI184" s="35"/>
      <c r="BJ184" s="35"/>
      <c r="BK184" s="35"/>
      <c r="BL184" s="35"/>
      <c r="BM184" s="35"/>
      <c r="BN184" s="35"/>
      <c r="BO184" s="35"/>
      <c r="BP184" s="35"/>
      <c r="BQ184" s="35"/>
      <c r="BR184" s="35"/>
      <c r="BS184" s="35"/>
      <c r="BT184" s="281"/>
    </row>
    <row r="185" s="27" customFormat="1" spans="1:72">
      <c r="A185" s="140"/>
      <c r="B185" s="140"/>
      <c r="C185" s="140"/>
      <c r="D185" s="140"/>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c r="AA185" s="140"/>
      <c r="AB185" s="140"/>
      <c r="AC185" s="140"/>
      <c r="AD185" s="140"/>
      <c r="AE185" s="140"/>
      <c r="AF185" s="140"/>
      <c r="AG185" s="140"/>
      <c r="AH185" s="140"/>
      <c r="AI185" s="140"/>
      <c r="AJ185" s="140"/>
      <c r="AK185" s="140"/>
      <c r="AL185" s="140"/>
      <c r="AM185" s="140"/>
      <c r="AN185" s="140"/>
      <c r="AO185" s="140"/>
      <c r="AP185" s="140"/>
      <c r="AQ185" s="140"/>
      <c r="AR185" s="140"/>
      <c r="AS185" s="140"/>
      <c r="AT185" s="140"/>
      <c r="AU185" s="140"/>
      <c r="AV185" s="140"/>
      <c r="AW185" s="140"/>
      <c r="AX185" s="140"/>
      <c r="AY185" s="140"/>
      <c r="AZ185" s="140"/>
      <c r="BA185" s="140"/>
      <c r="BB185" s="140"/>
      <c r="BI185" s="35"/>
      <c r="BJ185" s="35"/>
      <c r="BK185" s="35"/>
      <c r="BL185" s="35"/>
      <c r="BM185" s="35"/>
      <c r="BN185" s="35"/>
      <c r="BO185" s="35"/>
      <c r="BP185" s="35"/>
      <c r="BQ185" s="35"/>
      <c r="BR185" s="35"/>
      <c r="BS185" s="35"/>
      <c r="BT185" s="281"/>
    </row>
    <row r="186" s="27" customFormat="1" spans="1:72">
      <c r="A186" s="140"/>
      <c r="B186" s="140"/>
      <c r="C186" s="140"/>
      <c r="D186" s="140"/>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c r="AA186" s="140"/>
      <c r="AB186" s="140"/>
      <c r="AC186" s="140"/>
      <c r="AD186" s="140"/>
      <c r="AE186" s="140"/>
      <c r="AF186" s="140"/>
      <c r="AG186" s="140"/>
      <c r="AH186" s="140"/>
      <c r="AI186" s="140"/>
      <c r="AJ186" s="140"/>
      <c r="AK186" s="140"/>
      <c r="AL186" s="140"/>
      <c r="AM186" s="140"/>
      <c r="AN186" s="140"/>
      <c r="AO186" s="140"/>
      <c r="AP186" s="140"/>
      <c r="AQ186" s="140"/>
      <c r="AR186" s="140"/>
      <c r="AS186" s="140"/>
      <c r="AT186" s="140"/>
      <c r="AU186" s="140"/>
      <c r="AV186" s="140"/>
      <c r="AW186" s="140"/>
      <c r="AX186" s="140"/>
      <c r="AY186" s="140"/>
      <c r="AZ186" s="140"/>
      <c r="BA186" s="140"/>
      <c r="BB186" s="140"/>
      <c r="BI186" s="35"/>
      <c r="BJ186" s="35"/>
      <c r="BK186" s="35"/>
      <c r="BL186" s="35"/>
      <c r="BM186" s="35"/>
      <c r="BN186" s="35"/>
      <c r="BO186" s="35"/>
      <c r="BP186" s="35"/>
      <c r="BQ186" s="35"/>
      <c r="BR186" s="35"/>
      <c r="BS186" s="35"/>
      <c r="BT186" s="281"/>
    </row>
    <row r="187" s="27" customFormat="1" spans="1:72">
      <c r="A187" s="140"/>
      <c r="B187" s="140"/>
      <c r="C187" s="140"/>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c r="AA187" s="140"/>
      <c r="AB187" s="140"/>
      <c r="AC187" s="140"/>
      <c r="AD187" s="140"/>
      <c r="AE187" s="140"/>
      <c r="AF187" s="140"/>
      <c r="AG187" s="140"/>
      <c r="AH187" s="140"/>
      <c r="AI187" s="140"/>
      <c r="AJ187" s="140"/>
      <c r="AK187" s="140"/>
      <c r="AL187" s="140"/>
      <c r="AM187" s="140"/>
      <c r="AN187" s="140"/>
      <c r="AO187" s="140"/>
      <c r="AP187" s="140"/>
      <c r="AQ187" s="140"/>
      <c r="AR187" s="140"/>
      <c r="AS187" s="140"/>
      <c r="AT187" s="140"/>
      <c r="AU187" s="140"/>
      <c r="AV187" s="140"/>
      <c r="AW187" s="140"/>
      <c r="AX187" s="140"/>
      <c r="AY187" s="140"/>
      <c r="AZ187" s="140"/>
      <c r="BA187" s="140"/>
      <c r="BB187" s="140"/>
      <c r="BI187" s="35"/>
      <c r="BJ187" s="35"/>
      <c r="BK187" s="35"/>
      <c r="BL187" s="35"/>
      <c r="BM187" s="35"/>
      <c r="BN187" s="35"/>
      <c r="BO187" s="35"/>
      <c r="BP187" s="35"/>
      <c r="BQ187" s="35"/>
      <c r="BR187" s="35"/>
      <c r="BS187" s="35"/>
      <c r="BT187" s="281"/>
    </row>
    <row r="188" s="27" customFormat="1" spans="1:72">
      <c r="A188" s="140"/>
      <c r="B188" s="140"/>
      <c r="C188" s="140"/>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c r="AA188" s="140"/>
      <c r="AB188" s="140"/>
      <c r="AC188" s="140"/>
      <c r="AD188" s="140"/>
      <c r="AE188" s="140"/>
      <c r="AF188" s="140"/>
      <c r="AG188" s="140"/>
      <c r="AH188" s="140"/>
      <c r="AI188" s="140"/>
      <c r="AJ188" s="140"/>
      <c r="AK188" s="140"/>
      <c r="AL188" s="140"/>
      <c r="AM188" s="140"/>
      <c r="AN188" s="140"/>
      <c r="AO188" s="140"/>
      <c r="AP188" s="140"/>
      <c r="AQ188" s="140"/>
      <c r="AR188" s="140"/>
      <c r="AS188" s="140"/>
      <c r="AT188" s="140"/>
      <c r="AU188" s="140"/>
      <c r="AV188" s="140"/>
      <c r="AW188" s="140"/>
      <c r="AX188" s="140"/>
      <c r="AY188" s="140"/>
      <c r="AZ188" s="140"/>
      <c r="BA188" s="140"/>
      <c r="BB188" s="140"/>
      <c r="BI188" s="35"/>
      <c r="BJ188" s="35"/>
      <c r="BK188" s="35"/>
      <c r="BL188" s="35"/>
      <c r="BM188" s="35"/>
      <c r="BN188" s="35"/>
      <c r="BO188" s="35"/>
      <c r="BP188" s="35"/>
      <c r="BQ188" s="35"/>
      <c r="BR188" s="35"/>
      <c r="BS188" s="35"/>
      <c r="BT188" s="281"/>
    </row>
    <row r="189" s="27" customFormat="1" spans="1:72">
      <c r="A189" s="140"/>
      <c r="B189" s="140"/>
      <c r="C189" s="140"/>
      <c r="D189" s="140"/>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c r="AA189" s="140"/>
      <c r="AB189" s="140"/>
      <c r="AC189" s="140"/>
      <c r="AD189" s="140"/>
      <c r="AE189" s="140"/>
      <c r="AF189" s="140"/>
      <c r="AG189" s="140"/>
      <c r="AH189" s="140"/>
      <c r="AI189" s="140"/>
      <c r="AJ189" s="140"/>
      <c r="AK189" s="140"/>
      <c r="AL189" s="140"/>
      <c r="AM189" s="140"/>
      <c r="AN189" s="140"/>
      <c r="AO189" s="140"/>
      <c r="AP189" s="140"/>
      <c r="AQ189" s="140"/>
      <c r="AR189" s="140"/>
      <c r="AS189" s="140"/>
      <c r="AT189" s="140"/>
      <c r="AU189" s="140"/>
      <c r="AV189" s="140"/>
      <c r="AW189" s="140"/>
      <c r="AX189" s="140"/>
      <c r="AY189" s="140"/>
      <c r="AZ189" s="140"/>
      <c r="BA189" s="140"/>
      <c r="BB189" s="140"/>
      <c r="BI189" s="35"/>
      <c r="BJ189" s="35"/>
      <c r="BK189" s="35"/>
      <c r="BL189" s="35"/>
      <c r="BM189" s="35"/>
      <c r="BN189" s="35"/>
      <c r="BO189" s="35"/>
      <c r="BP189" s="35"/>
      <c r="BQ189" s="35"/>
      <c r="BR189" s="35"/>
      <c r="BS189" s="35"/>
      <c r="BT189" s="281"/>
    </row>
    <row r="190" s="27" customFormat="1" spans="1:72">
      <c r="A190" s="140"/>
      <c r="B190" s="140"/>
      <c r="C190" s="140"/>
      <c r="D190" s="140"/>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c r="AA190" s="140"/>
      <c r="AB190" s="140"/>
      <c r="AC190" s="140"/>
      <c r="AD190" s="140"/>
      <c r="AE190" s="140"/>
      <c r="AF190" s="140"/>
      <c r="AG190" s="140"/>
      <c r="AH190" s="140"/>
      <c r="AI190" s="140"/>
      <c r="AJ190" s="140"/>
      <c r="AK190" s="140"/>
      <c r="AL190" s="140"/>
      <c r="AM190" s="140"/>
      <c r="AN190" s="140"/>
      <c r="AO190" s="140"/>
      <c r="AP190" s="140"/>
      <c r="AQ190" s="140"/>
      <c r="AR190" s="140"/>
      <c r="AS190" s="140"/>
      <c r="AT190" s="140"/>
      <c r="AU190" s="140"/>
      <c r="AV190" s="140"/>
      <c r="AW190" s="140"/>
      <c r="AX190" s="140"/>
      <c r="AY190" s="140"/>
      <c r="AZ190" s="140"/>
      <c r="BA190" s="140"/>
      <c r="BB190" s="140"/>
      <c r="BI190" s="35"/>
      <c r="BJ190" s="35"/>
      <c r="BK190" s="35"/>
      <c r="BL190" s="35"/>
      <c r="BM190" s="35"/>
      <c r="BN190" s="35"/>
      <c r="BO190" s="35"/>
      <c r="BP190" s="35"/>
      <c r="BQ190" s="35"/>
      <c r="BR190" s="35"/>
      <c r="BS190" s="35"/>
      <c r="BT190" s="281"/>
    </row>
    <row r="191" s="27" customFormat="1" spans="1:72">
      <c r="A191" s="140"/>
      <c r="B191" s="140"/>
      <c r="C191" s="140"/>
      <c r="D191" s="140"/>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c r="AA191" s="140"/>
      <c r="AB191" s="140"/>
      <c r="AC191" s="140"/>
      <c r="AD191" s="140"/>
      <c r="AE191" s="140"/>
      <c r="AF191" s="140"/>
      <c r="AG191" s="140"/>
      <c r="AH191" s="140"/>
      <c r="AI191" s="140"/>
      <c r="AJ191" s="140"/>
      <c r="AK191" s="140"/>
      <c r="AL191" s="140"/>
      <c r="AM191" s="140"/>
      <c r="AN191" s="140"/>
      <c r="AO191" s="140"/>
      <c r="AP191" s="140"/>
      <c r="AQ191" s="140"/>
      <c r="AR191" s="140"/>
      <c r="AS191" s="140"/>
      <c r="AT191" s="140"/>
      <c r="AU191" s="140"/>
      <c r="AV191" s="140"/>
      <c r="AW191" s="140"/>
      <c r="AX191" s="140"/>
      <c r="AY191" s="140"/>
      <c r="AZ191" s="140"/>
      <c r="BA191" s="140"/>
      <c r="BB191" s="140"/>
      <c r="BI191" s="35"/>
      <c r="BJ191" s="35"/>
      <c r="BK191" s="35"/>
      <c r="BL191" s="35"/>
      <c r="BM191" s="35"/>
      <c r="BN191" s="35"/>
      <c r="BO191" s="35"/>
      <c r="BP191" s="35"/>
      <c r="BQ191" s="35"/>
      <c r="BR191" s="35"/>
      <c r="BS191" s="35"/>
      <c r="BT191" s="281"/>
    </row>
    <row r="192" s="27" customFormat="1" spans="1:72">
      <c r="A192" s="140"/>
      <c r="B192" s="140"/>
      <c r="C192" s="140"/>
      <c r="D192" s="140"/>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c r="AA192" s="140"/>
      <c r="AB192" s="140"/>
      <c r="AC192" s="140"/>
      <c r="AD192" s="140"/>
      <c r="AE192" s="140"/>
      <c r="AF192" s="140"/>
      <c r="AG192" s="140"/>
      <c r="AH192" s="140"/>
      <c r="AI192" s="140"/>
      <c r="AJ192" s="140"/>
      <c r="AK192" s="140"/>
      <c r="AL192" s="140"/>
      <c r="AM192" s="140"/>
      <c r="AN192" s="140"/>
      <c r="AO192" s="140"/>
      <c r="AP192" s="140"/>
      <c r="AQ192" s="140"/>
      <c r="AR192" s="140"/>
      <c r="AS192" s="140"/>
      <c r="AT192" s="140"/>
      <c r="AU192" s="140"/>
      <c r="AV192" s="140"/>
      <c r="AW192" s="140"/>
      <c r="AX192" s="140"/>
      <c r="AY192" s="140"/>
      <c r="AZ192" s="140"/>
      <c r="BA192" s="140"/>
      <c r="BB192" s="140"/>
      <c r="BI192" s="35"/>
      <c r="BJ192" s="35"/>
      <c r="BK192" s="35"/>
      <c r="BL192" s="35"/>
      <c r="BM192" s="35"/>
      <c r="BN192" s="35"/>
      <c r="BO192" s="35"/>
      <c r="BP192" s="35"/>
      <c r="BQ192" s="35"/>
      <c r="BR192" s="35"/>
      <c r="BS192" s="35"/>
      <c r="BT192" s="281"/>
    </row>
    <row r="193" s="27" customFormat="1" spans="1:72">
      <c r="A193" s="140"/>
      <c r="B193" s="140"/>
      <c r="C193" s="140"/>
      <c r="D193" s="140"/>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c r="AA193" s="140"/>
      <c r="AB193" s="140"/>
      <c r="AC193" s="140"/>
      <c r="AD193" s="140"/>
      <c r="AE193" s="140"/>
      <c r="AF193" s="140"/>
      <c r="AG193" s="140"/>
      <c r="AH193" s="140"/>
      <c r="AI193" s="140"/>
      <c r="AJ193" s="140"/>
      <c r="AK193" s="140"/>
      <c r="AL193" s="140"/>
      <c r="AM193" s="140"/>
      <c r="AN193" s="140"/>
      <c r="AO193" s="140"/>
      <c r="AP193" s="140"/>
      <c r="AQ193" s="140"/>
      <c r="AR193" s="140"/>
      <c r="AS193" s="140"/>
      <c r="AT193" s="140"/>
      <c r="AU193" s="140"/>
      <c r="AV193" s="140"/>
      <c r="AW193" s="140"/>
      <c r="AX193" s="140"/>
      <c r="AY193" s="140"/>
      <c r="AZ193" s="140"/>
      <c r="BA193" s="140"/>
      <c r="BB193" s="140"/>
      <c r="BI193" s="35"/>
      <c r="BJ193" s="35"/>
      <c r="BK193" s="35"/>
      <c r="BL193" s="35"/>
      <c r="BM193" s="35"/>
      <c r="BN193" s="35"/>
      <c r="BO193" s="35"/>
      <c r="BP193" s="35"/>
      <c r="BQ193" s="35"/>
      <c r="BR193" s="35"/>
      <c r="BS193" s="35"/>
      <c r="BT193" s="281"/>
    </row>
    <row r="194" s="27" customFormat="1" spans="1:72">
      <c r="A194" s="140"/>
      <c r="B194" s="140"/>
      <c r="C194" s="140"/>
      <c r="D194" s="140"/>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c r="AA194" s="140"/>
      <c r="AB194" s="140"/>
      <c r="AC194" s="140"/>
      <c r="AD194" s="140"/>
      <c r="AE194" s="140"/>
      <c r="AF194" s="140"/>
      <c r="AG194" s="140"/>
      <c r="AH194" s="140"/>
      <c r="AI194" s="140"/>
      <c r="AJ194" s="140"/>
      <c r="AK194" s="140"/>
      <c r="AL194" s="140"/>
      <c r="AM194" s="140"/>
      <c r="AN194" s="140"/>
      <c r="AO194" s="140"/>
      <c r="AP194" s="140"/>
      <c r="AQ194" s="140"/>
      <c r="AR194" s="140"/>
      <c r="AS194" s="140"/>
      <c r="AT194" s="140"/>
      <c r="AU194" s="140"/>
      <c r="AV194" s="140"/>
      <c r="AW194" s="140"/>
      <c r="AX194" s="140"/>
      <c r="AY194" s="140"/>
      <c r="AZ194" s="140"/>
      <c r="BA194" s="140"/>
      <c r="BB194" s="140"/>
      <c r="BI194" s="35"/>
      <c r="BJ194" s="35"/>
      <c r="BK194" s="35"/>
      <c r="BL194" s="35"/>
      <c r="BM194" s="35"/>
      <c r="BN194" s="35"/>
      <c r="BO194" s="35"/>
      <c r="BP194" s="35"/>
      <c r="BQ194" s="35"/>
      <c r="BR194" s="35"/>
      <c r="BS194" s="35"/>
      <c r="BT194" s="281"/>
    </row>
    <row r="195" s="27" customFormat="1" spans="1:72">
      <c r="A195" s="140"/>
      <c r="B195" s="140"/>
      <c r="C195" s="140"/>
      <c r="D195" s="140"/>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c r="AA195" s="140"/>
      <c r="AB195" s="140"/>
      <c r="AC195" s="140"/>
      <c r="AD195" s="140"/>
      <c r="AE195" s="140"/>
      <c r="AF195" s="140"/>
      <c r="AG195" s="140"/>
      <c r="AH195" s="140"/>
      <c r="AI195" s="140"/>
      <c r="AJ195" s="140"/>
      <c r="AK195" s="140"/>
      <c r="AL195" s="140"/>
      <c r="AM195" s="140"/>
      <c r="AN195" s="140"/>
      <c r="AO195" s="140"/>
      <c r="AP195" s="140"/>
      <c r="AQ195" s="140"/>
      <c r="AR195" s="140"/>
      <c r="AS195" s="140"/>
      <c r="AT195" s="140"/>
      <c r="AU195" s="140"/>
      <c r="AV195" s="140"/>
      <c r="AW195" s="140"/>
      <c r="AX195" s="140"/>
      <c r="AY195" s="140"/>
      <c r="AZ195" s="140"/>
      <c r="BA195" s="140"/>
      <c r="BB195" s="140"/>
      <c r="BI195" s="35"/>
      <c r="BJ195" s="35"/>
      <c r="BK195" s="35"/>
      <c r="BL195" s="35"/>
      <c r="BM195" s="35"/>
      <c r="BN195" s="35"/>
      <c r="BO195" s="35"/>
      <c r="BP195" s="35"/>
      <c r="BQ195" s="35"/>
      <c r="BR195" s="35"/>
      <c r="BS195" s="35"/>
      <c r="BT195" s="281"/>
    </row>
    <row r="196" s="27" customFormat="1" spans="1:72">
      <c r="A196" s="140"/>
      <c r="B196" s="140"/>
      <c r="C196" s="140"/>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c r="AA196" s="140"/>
      <c r="AB196" s="140"/>
      <c r="AC196" s="140"/>
      <c r="AD196" s="140"/>
      <c r="AE196" s="140"/>
      <c r="AF196" s="140"/>
      <c r="AG196" s="140"/>
      <c r="AH196" s="140"/>
      <c r="AI196" s="140"/>
      <c r="AJ196" s="140"/>
      <c r="AK196" s="140"/>
      <c r="AL196" s="140"/>
      <c r="AM196" s="140"/>
      <c r="AN196" s="140"/>
      <c r="AO196" s="140"/>
      <c r="AP196" s="140"/>
      <c r="AQ196" s="140"/>
      <c r="AR196" s="140"/>
      <c r="AS196" s="140"/>
      <c r="AT196" s="140"/>
      <c r="AU196" s="140"/>
      <c r="AV196" s="140"/>
      <c r="AW196" s="140"/>
      <c r="AX196" s="140"/>
      <c r="AY196" s="140"/>
      <c r="AZ196" s="140"/>
      <c r="BA196" s="140"/>
      <c r="BB196" s="140"/>
      <c r="BI196" s="35"/>
      <c r="BJ196" s="35"/>
      <c r="BK196" s="35"/>
      <c r="BL196" s="35"/>
      <c r="BM196" s="35"/>
      <c r="BN196" s="35"/>
      <c r="BO196" s="35"/>
      <c r="BP196" s="35"/>
      <c r="BQ196" s="35"/>
      <c r="BR196" s="35"/>
      <c r="BS196" s="35"/>
      <c r="BT196" s="281"/>
    </row>
    <row r="197" s="27" customFormat="1" spans="1:72">
      <c r="A197" s="140"/>
      <c r="B197" s="140"/>
      <c r="C197" s="140"/>
      <c r="D197" s="140"/>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c r="AA197" s="140"/>
      <c r="AB197" s="140"/>
      <c r="AC197" s="140"/>
      <c r="AD197" s="140"/>
      <c r="AE197" s="140"/>
      <c r="AF197" s="140"/>
      <c r="AG197" s="140"/>
      <c r="AH197" s="140"/>
      <c r="AI197" s="140"/>
      <c r="AJ197" s="140"/>
      <c r="AK197" s="140"/>
      <c r="AL197" s="140"/>
      <c r="AM197" s="140"/>
      <c r="AN197" s="140"/>
      <c r="AO197" s="140"/>
      <c r="AP197" s="140"/>
      <c r="AQ197" s="140"/>
      <c r="AR197" s="140"/>
      <c r="AS197" s="140"/>
      <c r="AT197" s="140"/>
      <c r="AU197" s="140"/>
      <c r="AV197" s="140"/>
      <c r="AW197" s="140"/>
      <c r="AX197" s="140"/>
      <c r="AY197" s="140"/>
      <c r="AZ197" s="140"/>
      <c r="BA197" s="140"/>
      <c r="BB197" s="140"/>
      <c r="BI197" s="35"/>
      <c r="BJ197" s="35"/>
      <c r="BK197" s="35"/>
      <c r="BL197" s="35"/>
      <c r="BM197" s="35"/>
      <c r="BN197" s="35"/>
      <c r="BO197" s="35"/>
      <c r="BP197" s="35"/>
      <c r="BQ197" s="35"/>
      <c r="BR197" s="35"/>
      <c r="BS197" s="35"/>
      <c r="BT197" s="281"/>
    </row>
    <row r="198" s="27" customFormat="1" spans="1:72">
      <c r="A198" s="140"/>
      <c r="B198" s="140"/>
      <c r="C198" s="140"/>
      <c r="D198" s="140"/>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c r="AA198" s="140"/>
      <c r="AB198" s="140"/>
      <c r="AC198" s="140"/>
      <c r="AD198" s="140"/>
      <c r="AE198" s="140"/>
      <c r="AF198" s="140"/>
      <c r="AG198" s="140"/>
      <c r="AH198" s="140"/>
      <c r="AI198" s="140"/>
      <c r="AJ198" s="140"/>
      <c r="AK198" s="140"/>
      <c r="AL198" s="140"/>
      <c r="AM198" s="140"/>
      <c r="AN198" s="140"/>
      <c r="AO198" s="140"/>
      <c r="AP198" s="140"/>
      <c r="AQ198" s="140"/>
      <c r="AR198" s="140"/>
      <c r="AS198" s="140"/>
      <c r="AT198" s="140"/>
      <c r="AU198" s="140"/>
      <c r="AV198" s="140"/>
      <c r="AW198" s="140"/>
      <c r="AX198" s="140"/>
      <c r="AY198" s="140"/>
      <c r="AZ198" s="140"/>
      <c r="BA198" s="140"/>
      <c r="BB198" s="140"/>
      <c r="BI198" s="35"/>
      <c r="BJ198" s="35"/>
      <c r="BK198" s="35"/>
      <c r="BL198" s="35"/>
      <c r="BM198" s="35"/>
      <c r="BN198" s="35"/>
      <c r="BO198" s="35"/>
      <c r="BP198" s="35"/>
      <c r="BQ198" s="35"/>
      <c r="BR198" s="35"/>
      <c r="BS198" s="35"/>
      <c r="BT198" s="281"/>
    </row>
    <row r="199" s="27" customFormat="1" spans="1:72">
      <c r="A199" s="140"/>
      <c r="B199" s="140"/>
      <c r="C199" s="140"/>
      <c r="D199" s="140"/>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c r="AA199" s="140"/>
      <c r="AB199" s="140"/>
      <c r="AC199" s="140"/>
      <c r="AD199" s="140"/>
      <c r="AE199" s="140"/>
      <c r="AF199" s="140"/>
      <c r="AG199" s="140"/>
      <c r="AH199" s="140"/>
      <c r="AI199" s="140"/>
      <c r="AJ199" s="140"/>
      <c r="AK199" s="140"/>
      <c r="AL199" s="140"/>
      <c r="AM199" s="140"/>
      <c r="AN199" s="140"/>
      <c r="AO199" s="140"/>
      <c r="AP199" s="140"/>
      <c r="AQ199" s="140"/>
      <c r="AR199" s="140"/>
      <c r="AS199" s="140"/>
      <c r="AT199" s="140"/>
      <c r="AU199" s="140"/>
      <c r="AV199" s="140"/>
      <c r="AW199" s="140"/>
      <c r="AX199" s="140"/>
      <c r="AY199" s="140"/>
      <c r="AZ199" s="140"/>
      <c r="BA199" s="140"/>
      <c r="BB199" s="140"/>
      <c r="BI199" s="35"/>
      <c r="BJ199" s="35"/>
      <c r="BK199" s="35"/>
      <c r="BL199" s="35"/>
      <c r="BM199" s="35"/>
      <c r="BN199" s="35"/>
      <c r="BO199" s="35"/>
      <c r="BP199" s="35"/>
      <c r="BQ199" s="35"/>
      <c r="BR199" s="35"/>
      <c r="BS199" s="35"/>
      <c r="BT199" s="281"/>
    </row>
    <row r="200" s="27" customFormat="1" spans="1:72">
      <c r="A200" s="140"/>
      <c r="B200" s="140"/>
      <c r="C200" s="140"/>
      <c r="D200" s="140"/>
      <c r="E200" s="140"/>
      <c r="F200" s="140"/>
      <c r="G200" s="140"/>
      <c r="H200" s="140"/>
      <c r="I200" s="140"/>
      <c r="J200" s="140"/>
      <c r="K200" s="140"/>
      <c r="L200" s="140"/>
      <c r="M200" s="140"/>
      <c r="N200" s="140"/>
      <c r="O200" s="140"/>
      <c r="P200" s="140"/>
      <c r="Q200" s="140"/>
      <c r="R200" s="140"/>
      <c r="S200" s="140"/>
      <c r="T200" s="140"/>
      <c r="U200" s="140"/>
      <c r="V200" s="140"/>
      <c r="W200" s="140"/>
      <c r="X200" s="140"/>
      <c r="Y200" s="140"/>
      <c r="Z200" s="140"/>
      <c r="AA200" s="140"/>
      <c r="AB200" s="140"/>
      <c r="AC200" s="140"/>
      <c r="AD200" s="140"/>
      <c r="AE200" s="140"/>
      <c r="AF200" s="140"/>
      <c r="AG200" s="140"/>
      <c r="AH200" s="140"/>
      <c r="AI200" s="140"/>
      <c r="AJ200" s="140"/>
      <c r="AK200" s="140"/>
      <c r="AL200" s="140"/>
      <c r="AM200" s="140"/>
      <c r="AN200" s="140"/>
      <c r="AO200" s="140"/>
      <c r="AP200" s="140"/>
      <c r="AQ200" s="140"/>
      <c r="AR200" s="140"/>
      <c r="AS200" s="140"/>
      <c r="AT200" s="140"/>
      <c r="AU200" s="140"/>
      <c r="AV200" s="140"/>
      <c r="AW200" s="140"/>
      <c r="AX200" s="140"/>
      <c r="AY200" s="140"/>
      <c r="AZ200" s="140"/>
      <c r="BA200" s="140"/>
      <c r="BB200" s="140"/>
      <c r="BI200" s="35"/>
      <c r="BJ200" s="35"/>
      <c r="BK200" s="35"/>
      <c r="BL200" s="35"/>
      <c r="BM200" s="35"/>
      <c r="BN200" s="35"/>
      <c r="BO200" s="35"/>
      <c r="BP200" s="35"/>
      <c r="BQ200" s="35"/>
      <c r="BR200" s="35"/>
      <c r="BS200" s="35"/>
      <c r="BT200" s="281"/>
    </row>
    <row r="201" s="27" customFormat="1" spans="1:72">
      <c r="A201" s="140"/>
      <c r="B201" s="140"/>
      <c r="C201" s="140"/>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c r="AA201" s="140"/>
      <c r="AB201" s="140"/>
      <c r="AC201" s="140"/>
      <c r="AD201" s="140"/>
      <c r="AE201" s="140"/>
      <c r="AF201" s="140"/>
      <c r="AG201" s="140"/>
      <c r="AH201" s="140"/>
      <c r="AI201" s="140"/>
      <c r="AJ201" s="140"/>
      <c r="AK201" s="140"/>
      <c r="AL201" s="140"/>
      <c r="AM201" s="140"/>
      <c r="AN201" s="140"/>
      <c r="AO201" s="140"/>
      <c r="AP201" s="140"/>
      <c r="AQ201" s="140"/>
      <c r="AR201" s="140"/>
      <c r="AS201" s="140"/>
      <c r="AT201" s="140"/>
      <c r="AU201" s="140"/>
      <c r="AV201" s="140"/>
      <c r="AW201" s="140"/>
      <c r="AX201" s="140"/>
      <c r="AY201" s="140"/>
      <c r="AZ201" s="140"/>
      <c r="BA201" s="140"/>
      <c r="BB201" s="140"/>
      <c r="BI201" s="35"/>
      <c r="BJ201" s="35"/>
      <c r="BK201" s="35"/>
      <c r="BL201" s="35"/>
      <c r="BM201" s="35"/>
      <c r="BN201" s="35"/>
      <c r="BO201" s="35"/>
      <c r="BP201" s="35"/>
      <c r="BQ201" s="35"/>
      <c r="BR201" s="35"/>
      <c r="BS201" s="35"/>
      <c r="BT201" s="281"/>
    </row>
    <row r="202" s="27" customFormat="1" spans="1:72">
      <c r="A202" s="140"/>
      <c r="B202" s="140"/>
      <c r="C202" s="140"/>
      <c r="D202" s="140"/>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c r="AA202" s="140"/>
      <c r="AB202" s="140"/>
      <c r="AC202" s="140"/>
      <c r="AD202" s="140"/>
      <c r="AE202" s="140"/>
      <c r="AF202" s="140"/>
      <c r="AG202" s="140"/>
      <c r="AH202" s="140"/>
      <c r="AI202" s="140"/>
      <c r="AJ202" s="140"/>
      <c r="AK202" s="140"/>
      <c r="AL202" s="140"/>
      <c r="AM202" s="140"/>
      <c r="AN202" s="140"/>
      <c r="AO202" s="140"/>
      <c r="AP202" s="140"/>
      <c r="AQ202" s="140"/>
      <c r="AR202" s="140"/>
      <c r="AS202" s="140"/>
      <c r="AT202" s="140"/>
      <c r="AU202" s="140"/>
      <c r="AV202" s="140"/>
      <c r="AW202" s="140"/>
      <c r="AX202" s="140"/>
      <c r="AY202" s="140"/>
      <c r="AZ202" s="140"/>
      <c r="BA202" s="140"/>
      <c r="BB202" s="140"/>
      <c r="BI202" s="35"/>
      <c r="BJ202" s="35"/>
      <c r="BK202" s="35"/>
      <c r="BL202" s="35"/>
      <c r="BM202" s="35"/>
      <c r="BN202" s="35"/>
      <c r="BO202" s="35"/>
      <c r="BP202" s="35"/>
      <c r="BQ202" s="35"/>
      <c r="BR202" s="35"/>
      <c r="BS202" s="35"/>
      <c r="BT202" s="281"/>
    </row>
    <row r="203" s="27" customFormat="1" spans="1:72">
      <c r="A203" s="140"/>
      <c r="B203" s="140"/>
      <c r="C203" s="140"/>
      <c r="D203" s="140"/>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c r="AA203" s="140"/>
      <c r="AB203" s="140"/>
      <c r="AC203" s="140"/>
      <c r="AD203" s="140"/>
      <c r="AE203" s="140"/>
      <c r="AF203" s="140"/>
      <c r="AG203" s="140"/>
      <c r="AH203" s="140"/>
      <c r="AI203" s="140"/>
      <c r="AJ203" s="140"/>
      <c r="AK203" s="140"/>
      <c r="AL203" s="140"/>
      <c r="AM203" s="140"/>
      <c r="AN203" s="140"/>
      <c r="AO203" s="140"/>
      <c r="AP203" s="140"/>
      <c r="AQ203" s="140"/>
      <c r="AR203" s="140"/>
      <c r="AS203" s="140"/>
      <c r="AT203" s="140"/>
      <c r="AU203" s="140"/>
      <c r="AV203" s="140"/>
      <c r="AW203" s="140"/>
      <c r="AX203" s="140"/>
      <c r="AY203" s="140"/>
      <c r="AZ203" s="140"/>
      <c r="BA203" s="140"/>
      <c r="BB203" s="140"/>
      <c r="BI203" s="35"/>
      <c r="BJ203" s="35"/>
      <c r="BK203" s="35"/>
      <c r="BL203" s="35"/>
      <c r="BM203" s="35"/>
      <c r="BN203" s="35"/>
      <c r="BO203" s="35"/>
      <c r="BP203" s="35"/>
      <c r="BQ203" s="35"/>
      <c r="BR203" s="35"/>
      <c r="BS203" s="35"/>
      <c r="BT203" s="281"/>
    </row>
    <row r="204" s="27" customFormat="1" spans="1:72">
      <c r="A204" s="140"/>
      <c r="B204" s="140"/>
      <c r="C204" s="140"/>
      <c r="D204" s="140"/>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c r="AA204" s="140"/>
      <c r="AB204" s="140"/>
      <c r="AC204" s="140"/>
      <c r="AD204" s="140"/>
      <c r="AE204" s="140"/>
      <c r="AF204" s="140"/>
      <c r="AG204" s="140"/>
      <c r="AH204" s="140"/>
      <c r="AI204" s="140"/>
      <c r="AJ204" s="140"/>
      <c r="AK204" s="140"/>
      <c r="AL204" s="140"/>
      <c r="AM204" s="140"/>
      <c r="AN204" s="140"/>
      <c r="AO204" s="140"/>
      <c r="AP204" s="140"/>
      <c r="AQ204" s="140"/>
      <c r="AR204" s="140"/>
      <c r="AS204" s="140"/>
      <c r="AT204" s="140"/>
      <c r="AU204" s="140"/>
      <c r="AV204" s="140"/>
      <c r="AW204" s="140"/>
      <c r="AX204" s="140"/>
      <c r="AY204" s="140"/>
      <c r="AZ204" s="140"/>
      <c r="BA204" s="140"/>
      <c r="BB204" s="140"/>
      <c r="BI204" s="35"/>
      <c r="BJ204" s="35"/>
      <c r="BK204" s="35"/>
      <c r="BL204" s="35"/>
      <c r="BM204" s="35"/>
      <c r="BN204" s="35"/>
      <c r="BO204" s="35"/>
      <c r="BP204" s="35"/>
      <c r="BQ204" s="35"/>
      <c r="BR204" s="35"/>
      <c r="BS204" s="35"/>
      <c r="BT204" s="281"/>
    </row>
  </sheetData>
  <sheetProtection password="D01C" sheet="1" selectLockedCells="1" objects="1"/>
  <mergeCells count="490">
    <mergeCell ref="B7:O7"/>
    <mergeCell ref="G9:H9"/>
    <mergeCell ref="I9:J9"/>
    <mergeCell ref="E14:G14"/>
    <mergeCell ref="H14:K14"/>
    <mergeCell ref="E15:G15"/>
    <mergeCell ref="H15:K15"/>
    <mergeCell ref="E16:G16"/>
    <mergeCell ref="H16:K16"/>
    <mergeCell ref="E17:G17"/>
    <mergeCell ref="H17:K17"/>
    <mergeCell ref="E18:G18"/>
    <mergeCell ref="H18:K18"/>
    <mergeCell ref="E19:G19"/>
    <mergeCell ref="H19:K19"/>
    <mergeCell ref="E20:G20"/>
    <mergeCell ref="H20:K20"/>
    <mergeCell ref="B23:O23"/>
    <mergeCell ref="C25:D25"/>
    <mergeCell ref="F25:G25"/>
    <mergeCell ref="H25:I25"/>
    <mergeCell ref="J25:K25"/>
    <mergeCell ref="L25:M25"/>
    <mergeCell ref="N25:O25"/>
    <mergeCell ref="B26:C26"/>
    <mergeCell ref="D26:E26"/>
    <mergeCell ref="F26:G26"/>
    <mergeCell ref="H26:I26"/>
    <mergeCell ref="J26:K26"/>
    <mergeCell ref="L26:O26"/>
    <mergeCell ref="B27:C27"/>
    <mergeCell ref="D27:E27"/>
    <mergeCell ref="F27:G27"/>
    <mergeCell ref="J27:K27"/>
    <mergeCell ref="L27:O27"/>
    <mergeCell ref="B28:C28"/>
    <mergeCell ref="D28:F28"/>
    <mergeCell ref="G28:H28"/>
    <mergeCell ref="I28:J28"/>
    <mergeCell ref="K28:M28"/>
    <mergeCell ref="Q28:R28"/>
    <mergeCell ref="B29:C29"/>
    <mergeCell ref="D29:G29"/>
    <mergeCell ref="H29:I29"/>
    <mergeCell ref="K29:M29"/>
    <mergeCell ref="N29:O29"/>
    <mergeCell ref="Q29:R29"/>
    <mergeCell ref="B30:O30"/>
    <mergeCell ref="C31:F31"/>
    <mergeCell ref="G31:I31"/>
    <mergeCell ref="J31:M31"/>
    <mergeCell ref="Q31:R31"/>
    <mergeCell ref="C32:F32"/>
    <mergeCell ref="G32:I32"/>
    <mergeCell ref="J32:M32"/>
    <mergeCell ref="Q32:R32"/>
    <mergeCell ref="C33:F33"/>
    <mergeCell ref="G33:I33"/>
    <mergeCell ref="J33:M33"/>
    <mergeCell ref="C34:F34"/>
    <mergeCell ref="G34:I34"/>
    <mergeCell ref="J34:M34"/>
    <mergeCell ref="C35:F35"/>
    <mergeCell ref="G35:I35"/>
    <mergeCell ref="J35:M35"/>
    <mergeCell ref="Q35:R35"/>
    <mergeCell ref="C36:F36"/>
    <mergeCell ref="G36:I36"/>
    <mergeCell ref="J36:M36"/>
    <mergeCell ref="Q36:R36"/>
    <mergeCell ref="C37:F37"/>
    <mergeCell ref="C38:F38"/>
    <mergeCell ref="C39:F39"/>
    <mergeCell ref="C40:F40"/>
    <mergeCell ref="C41:F41"/>
    <mergeCell ref="C42:F42"/>
    <mergeCell ref="G42:I42"/>
    <mergeCell ref="J42:M42"/>
    <mergeCell ref="C43:F43"/>
    <mergeCell ref="G43:I43"/>
    <mergeCell ref="J43:M43"/>
    <mergeCell ref="C44:D44"/>
    <mergeCell ref="E44:F44"/>
    <mergeCell ref="G44:H44"/>
    <mergeCell ref="I44:J44"/>
    <mergeCell ref="K44:L44"/>
    <mergeCell ref="Q44:R44"/>
    <mergeCell ref="C45:D45"/>
    <mergeCell ref="E45:F45"/>
    <mergeCell ref="G45:H45"/>
    <mergeCell ref="I45:J45"/>
    <mergeCell ref="K45:L45"/>
    <mergeCell ref="Q45:R45"/>
    <mergeCell ref="C46:L46"/>
    <mergeCell ref="C47:D47"/>
    <mergeCell ref="E47:F47"/>
    <mergeCell ref="G47:H47"/>
    <mergeCell ref="I47:J47"/>
    <mergeCell ref="K47:L47"/>
    <mergeCell ref="C48:D48"/>
    <mergeCell ref="E48:F48"/>
    <mergeCell ref="G48:H48"/>
    <mergeCell ref="I48:J48"/>
    <mergeCell ref="K48:L48"/>
    <mergeCell ref="Q48:R48"/>
    <mergeCell ref="C49:D49"/>
    <mergeCell ref="E49:F49"/>
    <mergeCell ref="G49:I49"/>
    <mergeCell ref="J49:K49"/>
    <mergeCell ref="L49:M49"/>
    <mergeCell ref="C50:D50"/>
    <mergeCell ref="E50:F50"/>
    <mergeCell ref="G50:I50"/>
    <mergeCell ref="J50:K50"/>
    <mergeCell ref="L50:M50"/>
    <mergeCell ref="C51:D51"/>
    <mergeCell ref="E51:F51"/>
    <mergeCell ref="G51:I51"/>
    <mergeCell ref="J51:K51"/>
    <mergeCell ref="L51:M51"/>
    <mergeCell ref="C52:D52"/>
    <mergeCell ref="E52:F52"/>
    <mergeCell ref="G52:I52"/>
    <mergeCell ref="J52:K52"/>
    <mergeCell ref="L52:M52"/>
    <mergeCell ref="C53:D53"/>
    <mergeCell ref="E53:F53"/>
    <mergeCell ref="G53:I53"/>
    <mergeCell ref="J53:K53"/>
    <mergeCell ref="L53:M53"/>
    <mergeCell ref="C54:D54"/>
    <mergeCell ref="E54:F54"/>
    <mergeCell ref="G54:I54"/>
    <mergeCell ref="J54:K54"/>
    <mergeCell ref="L54:M54"/>
    <mergeCell ref="C55:D55"/>
    <mergeCell ref="E55:F55"/>
    <mergeCell ref="G55:I55"/>
    <mergeCell ref="J55:K55"/>
    <mergeCell ref="L55:M55"/>
    <mergeCell ref="C56:D56"/>
    <mergeCell ref="E56:F56"/>
    <mergeCell ref="G56:I56"/>
    <mergeCell ref="J56:K56"/>
    <mergeCell ref="L56:M56"/>
    <mergeCell ref="C57:D57"/>
    <mergeCell ref="E57:F57"/>
    <mergeCell ref="G57:I57"/>
    <mergeCell ref="J57:K57"/>
    <mergeCell ref="L57:M57"/>
    <mergeCell ref="C58:D58"/>
    <mergeCell ref="E58:F58"/>
    <mergeCell ref="G58:I58"/>
    <mergeCell ref="J58:K58"/>
    <mergeCell ref="L58:M58"/>
    <mergeCell ref="C59:D59"/>
    <mergeCell ref="E59:F59"/>
    <mergeCell ref="G59:I59"/>
    <mergeCell ref="J59:K59"/>
    <mergeCell ref="L59:M59"/>
    <mergeCell ref="C60:D60"/>
    <mergeCell ref="E60:F60"/>
    <mergeCell ref="G60:I60"/>
    <mergeCell ref="J60:K60"/>
    <mergeCell ref="L60:M60"/>
    <mergeCell ref="C61:D61"/>
    <mergeCell ref="E61:F61"/>
    <mergeCell ref="G61:I61"/>
    <mergeCell ref="J61:K61"/>
    <mergeCell ref="L61:M61"/>
    <mergeCell ref="C62:D62"/>
    <mergeCell ref="E62:F62"/>
    <mergeCell ref="G62:H62"/>
    <mergeCell ref="I62:J62"/>
    <mergeCell ref="K62:M62"/>
    <mergeCell ref="C63:D63"/>
    <mergeCell ref="E63:F63"/>
    <mergeCell ref="G63:H63"/>
    <mergeCell ref="I63:J63"/>
    <mergeCell ref="K63:M63"/>
    <mergeCell ref="C64:D64"/>
    <mergeCell ref="E64:F64"/>
    <mergeCell ref="G64:H64"/>
    <mergeCell ref="I64:J64"/>
    <mergeCell ref="K64:M64"/>
    <mergeCell ref="B65:O65"/>
    <mergeCell ref="C66:D66"/>
    <mergeCell ref="F66:G66"/>
    <mergeCell ref="R66:S66"/>
    <mergeCell ref="C67:D67"/>
    <mergeCell ref="F67:G67"/>
    <mergeCell ref="R67:S67"/>
    <mergeCell ref="B68:L68"/>
    <mergeCell ref="N68:O68"/>
    <mergeCell ref="B70:O70"/>
    <mergeCell ref="B71:O71"/>
    <mergeCell ref="C72:D72"/>
    <mergeCell ref="F72:G72"/>
    <mergeCell ref="C73:D73"/>
    <mergeCell ref="F73:G73"/>
    <mergeCell ref="C74:D74"/>
    <mergeCell ref="F74:G74"/>
    <mergeCell ref="C75:D75"/>
    <mergeCell ref="F75:G75"/>
    <mergeCell ref="C76:D76"/>
    <mergeCell ref="F76:G76"/>
    <mergeCell ref="C77:D77"/>
    <mergeCell ref="F77:G77"/>
    <mergeCell ref="B78:L78"/>
    <mergeCell ref="N78:O78"/>
    <mergeCell ref="B79:O79"/>
    <mergeCell ref="D80:F80"/>
    <mergeCell ref="D81:F81"/>
    <mergeCell ref="D82:F82"/>
    <mergeCell ref="D83:F83"/>
    <mergeCell ref="D84:F84"/>
    <mergeCell ref="D85:F85"/>
    <mergeCell ref="B86:L86"/>
    <mergeCell ref="N86:O86"/>
    <mergeCell ref="B87:O87"/>
    <mergeCell ref="B88:C88"/>
    <mergeCell ref="D88:F88"/>
    <mergeCell ref="H88:K88"/>
    <mergeCell ref="B89:C89"/>
    <mergeCell ref="D89:F89"/>
    <mergeCell ref="H89:K89"/>
    <mergeCell ref="B90:C90"/>
    <mergeCell ref="D90:F90"/>
    <mergeCell ref="H90:K90"/>
    <mergeCell ref="B91:C91"/>
    <mergeCell ref="D91:F91"/>
    <mergeCell ref="H91:K91"/>
    <mergeCell ref="B92:C92"/>
    <mergeCell ref="D92:F92"/>
    <mergeCell ref="H92:K92"/>
    <mergeCell ref="B93:C93"/>
    <mergeCell ref="D93:F93"/>
    <mergeCell ref="H93:K93"/>
    <mergeCell ref="B94:L94"/>
    <mergeCell ref="N94:O94"/>
    <mergeCell ref="B95:O95"/>
    <mergeCell ref="B96:C96"/>
    <mergeCell ref="D96:E96"/>
    <mergeCell ref="F96:H96"/>
    <mergeCell ref="B97:C97"/>
    <mergeCell ref="D97:E97"/>
    <mergeCell ref="F97:H97"/>
    <mergeCell ref="B98:C98"/>
    <mergeCell ref="D98:E98"/>
    <mergeCell ref="F98:H98"/>
    <mergeCell ref="B99:C99"/>
    <mergeCell ref="D99:E99"/>
    <mergeCell ref="F99:H99"/>
    <mergeCell ref="B100:L100"/>
    <mergeCell ref="N100:O100"/>
    <mergeCell ref="B101:O101"/>
    <mergeCell ref="B102:O102"/>
    <mergeCell ref="C103:E103"/>
    <mergeCell ref="F103:G103"/>
    <mergeCell ref="Z103:AA103"/>
    <mergeCell ref="AC103:AD103"/>
    <mergeCell ref="C104:E104"/>
    <mergeCell ref="F104:G104"/>
    <mergeCell ref="Z104:AA104"/>
    <mergeCell ref="AC104:AD104"/>
    <mergeCell ref="C105:E105"/>
    <mergeCell ref="F105:G105"/>
    <mergeCell ref="Z105:AA105"/>
    <mergeCell ref="AC105:AD105"/>
    <mergeCell ref="C106:E106"/>
    <mergeCell ref="F106:G106"/>
    <mergeCell ref="Z106:AA106"/>
    <mergeCell ref="AC106:AD106"/>
    <mergeCell ref="B107:L107"/>
    <mergeCell ref="N107:O107"/>
    <mergeCell ref="B108:O108"/>
    <mergeCell ref="C109:E109"/>
    <mergeCell ref="F109:G109"/>
    <mergeCell ref="AB109:AC109"/>
    <mergeCell ref="AD109:AE109"/>
    <mergeCell ref="AF109:AG109"/>
    <mergeCell ref="C110:E110"/>
    <mergeCell ref="F110:G110"/>
    <mergeCell ref="AB110:AC110"/>
    <mergeCell ref="AD110:AE110"/>
    <mergeCell ref="AF110:AG110"/>
    <mergeCell ref="C111:E111"/>
    <mergeCell ref="F111:G111"/>
    <mergeCell ref="AB111:AC111"/>
    <mergeCell ref="AD111:AE111"/>
    <mergeCell ref="B112:L112"/>
    <mergeCell ref="N112:O112"/>
    <mergeCell ref="B113:O113"/>
    <mergeCell ref="C114:F114"/>
    <mergeCell ref="Y114:Z114"/>
    <mergeCell ref="AA114:AB114"/>
    <mergeCell ref="C115:F115"/>
    <mergeCell ref="Y115:Z115"/>
    <mergeCell ref="AA115:AB115"/>
    <mergeCell ref="C116:F116"/>
    <mergeCell ref="Y116:Z116"/>
    <mergeCell ref="AA116:AB116"/>
    <mergeCell ref="C117:F117"/>
    <mergeCell ref="Y117:Z117"/>
    <mergeCell ref="AA117:AB117"/>
    <mergeCell ref="C118:F118"/>
    <mergeCell ref="Y118:Z118"/>
    <mergeCell ref="AA118:AB118"/>
    <mergeCell ref="B119:L119"/>
    <mergeCell ref="N119:O119"/>
    <mergeCell ref="B120:O120"/>
    <mergeCell ref="C121:E121"/>
    <mergeCell ref="F121:G121"/>
    <mergeCell ref="C122:E122"/>
    <mergeCell ref="F122:G122"/>
    <mergeCell ref="C123:E123"/>
    <mergeCell ref="F123:G123"/>
    <mergeCell ref="B124:L124"/>
    <mergeCell ref="N124:O124"/>
    <mergeCell ref="B125:O125"/>
    <mergeCell ref="D126:F126"/>
    <mergeCell ref="G126:H126"/>
    <mergeCell ref="V126:W126"/>
    <mergeCell ref="X126:Y126"/>
    <mergeCell ref="D127:F127"/>
    <mergeCell ref="G127:H127"/>
    <mergeCell ref="V127:W127"/>
    <mergeCell ref="X127:Y127"/>
    <mergeCell ref="D128:F128"/>
    <mergeCell ref="G128:H128"/>
    <mergeCell ref="V128:W128"/>
    <mergeCell ref="X128:Y128"/>
    <mergeCell ref="B129:L129"/>
    <mergeCell ref="N129:O129"/>
    <mergeCell ref="B130:O130"/>
    <mergeCell ref="C131:D131"/>
    <mergeCell ref="E131:G131"/>
    <mergeCell ref="H131:I131"/>
    <mergeCell ref="R131:S131"/>
    <mergeCell ref="T131:U131"/>
    <mergeCell ref="C132:D132"/>
    <mergeCell ref="E132:G132"/>
    <mergeCell ref="H132:I132"/>
    <mergeCell ref="R132:S132"/>
    <mergeCell ref="T132:U132"/>
    <mergeCell ref="C133:D133"/>
    <mergeCell ref="E133:G133"/>
    <mergeCell ref="H133:I133"/>
    <mergeCell ref="R133:S133"/>
    <mergeCell ref="T133:U133"/>
    <mergeCell ref="B134:L134"/>
    <mergeCell ref="N134:O134"/>
    <mergeCell ref="B135:O135"/>
    <mergeCell ref="C136:D136"/>
    <mergeCell ref="F136:G136"/>
    <mergeCell ref="R136:S136"/>
    <mergeCell ref="C137:D137"/>
    <mergeCell ref="F137:G137"/>
    <mergeCell ref="R137:S137"/>
    <mergeCell ref="C138:D138"/>
    <mergeCell ref="F138:G138"/>
    <mergeCell ref="R138:S138"/>
    <mergeCell ref="B139:L139"/>
    <mergeCell ref="N139:O139"/>
    <mergeCell ref="B140:O140"/>
    <mergeCell ref="C141:F141"/>
    <mergeCell ref="G141:H141"/>
    <mergeCell ref="C142:F142"/>
    <mergeCell ref="G142:H142"/>
    <mergeCell ref="C143:F143"/>
    <mergeCell ref="G143:H143"/>
    <mergeCell ref="B144:L144"/>
    <mergeCell ref="N144:O144"/>
    <mergeCell ref="B145:O145"/>
    <mergeCell ref="C146:D146"/>
    <mergeCell ref="F146:G146"/>
    <mergeCell ref="C147:D147"/>
    <mergeCell ref="F147:G147"/>
    <mergeCell ref="C148:D148"/>
    <mergeCell ref="F148:G148"/>
    <mergeCell ref="C149:D149"/>
    <mergeCell ref="F149:G149"/>
    <mergeCell ref="B150:L150"/>
    <mergeCell ref="N150:O150"/>
    <mergeCell ref="B152:O152"/>
    <mergeCell ref="C153:E153"/>
    <mergeCell ref="F153:G153"/>
    <mergeCell ref="H153:J153"/>
    <mergeCell ref="K153:M153"/>
    <mergeCell ref="N153:O153"/>
    <mergeCell ref="C154:E154"/>
    <mergeCell ref="F154:G154"/>
    <mergeCell ref="H154:J154"/>
    <mergeCell ref="K154:M154"/>
    <mergeCell ref="N154:O154"/>
    <mergeCell ref="C155:E155"/>
    <mergeCell ref="F155:G155"/>
    <mergeCell ref="H155:K155"/>
    <mergeCell ref="L155:M155"/>
    <mergeCell ref="N155:O155"/>
    <mergeCell ref="C156:E156"/>
    <mergeCell ref="F156:G156"/>
    <mergeCell ref="H156:K156"/>
    <mergeCell ref="L156:M156"/>
    <mergeCell ref="N156:O156"/>
    <mergeCell ref="C157:E157"/>
    <mergeCell ref="F157:I157"/>
    <mergeCell ref="J157:M157"/>
    <mergeCell ref="N157:O157"/>
    <mergeCell ref="C158:E158"/>
    <mergeCell ref="F158:I158"/>
    <mergeCell ref="J158:M158"/>
    <mergeCell ref="N158:O158"/>
    <mergeCell ref="C159:E159"/>
    <mergeCell ref="F159:H159"/>
    <mergeCell ref="I159:J159"/>
    <mergeCell ref="K159:M159"/>
    <mergeCell ref="C160:E160"/>
    <mergeCell ref="F160:H160"/>
    <mergeCell ref="I160:J160"/>
    <mergeCell ref="K160:M160"/>
    <mergeCell ref="C161:E161"/>
    <mergeCell ref="F161:H161"/>
    <mergeCell ref="I161:J161"/>
    <mergeCell ref="K161:M161"/>
    <mergeCell ref="C162:E162"/>
    <mergeCell ref="F162:H162"/>
    <mergeCell ref="I162:J162"/>
    <mergeCell ref="K162:M162"/>
    <mergeCell ref="C163:D163"/>
    <mergeCell ref="E163:F163"/>
    <mergeCell ref="G163:I163"/>
    <mergeCell ref="J163:K163"/>
    <mergeCell ref="L163:M163"/>
    <mergeCell ref="N163:O163"/>
    <mergeCell ref="C164:D164"/>
    <mergeCell ref="E164:F164"/>
    <mergeCell ref="G164:I164"/>
    <mergeCell ref="J164:K164"/>
    <mergeCell ref="L164:M164"/>
    <mergeCell ref="N164:O164"/>
    <mergeCell ref="C165:D165"/>
    <mergeCell ref="E165:G165"/>
    <mergeCell ref="H165:I165"/>
    <mergeCell ref="J165:K165"/>
    <mergeCell ref="N165:O165"/>
    <mergeCell ref="C166:D166"/>
    <mergeCell ref="E166:G166"/>
    <mergeCell ref="H166:I166"/>
    <mergeCell ref="J166:K166"/>
    <mergeCell ref="N166:O166"/>
    <mergeCell ref="C167:D167"/>
    <mergeCell ref="E167:F167"/>
    <mergeCell ref="G167:H167"/>
    <mergeCell ref="I167:J167"/>
    <mergeCell ref="K167:O167"/>
    <mergeCell ref="R167:S167"/>
    <mergeCell ref="T167:U167"/>
    <mergeCell ref="C168:D168"/>
    <mergeCell ref="E168:F168"/>
    <mergeCell ref="G168:H168"/>
    <mergeCell ref="I168:J168"/>
    <mergeCell ref="K168:O168"/>
    <mergeCell ref="R168:S168"/>
    <mergeCell ref="T168:U168"/>
    <mergeCell ref="B169:E169"/>
    <mergeCell ref="F169:G169"/>
    <mergeCell ref="H169:J169"/>
    <mergeCell ref="K169:O169"/>
    <mergeCell ref="C170:O170"/>
    <mergeCell ref="C171:O171"/>
    <mergeCell ref="C172:O172"/>
    <mergeCell ref="B31:B34"/>
    <mergeCell ref="B35:B43"/>
    <mergeCell ref="B44:B45"/>
    <mergeCell ref="B46:B48"/>
    <mergeCell ref="B49:B61"/>
    <mergeCell ref="B62:B64"/>
    <mergeCell ref="B153:B154"/>
    <mergeCell ref="B155:B158"/>
    <mergeCell ref="B159:B162"/>
    <mergeCell ref="B163:B166"/>
    <mergeCell ref="B167:B168"/>
    <mergeCell ref="M46:M47"/>
    <mergeCell ref="N46:N47"/>
    <mergeCell ref="O46:O47"/>
    <mergeCell ref="P46:P47"/>
    <mergeCell ref="Q46:R47"/>
    <mergeCell ref="N161:O162"/>
    <mergeCell ref="N159:O160"/>
  </mergeCells>
  <dataValidations count="46">
    <dataValidation allowBlank="1" showErrorMessage="1" sqref="B6:K6 L6 M6 N6 B7:K7 L7 M7 N7 B8:K8 L8 M8 N8 B9:G9 H9:J9 K9 L9 M9 B10:K10 L10 M10 L11:L13 M11:M13 N9:N10 N11:N13 B11:K13"/>
    <dataValidation allowBlank="1" showErrorMessage="1" prompt="请在下拉列表中选择填写内容！" sqref="G14:I14 G16 C31:D31 E31 F31:G31 H31 J31 N32:O32 N33:O33 N34:O34 C35:D35 E35 F35:G35 H35 J35 N36:O36 N41:O41 N42:O42 N43:O43 C44:D44 E44 F44 H44 I44 N45:O45 C46:D46 E46 F46 H46 I46 C47:D47 E47 F47 H47 I47 N48:O48 C49:D49 E49 F49:G49 H49 J49 N50:O50 N51:O51 N52:O52 N56:O56 N60:O60 N61:O61 D62 C68:H68 C78:H78 C86:H86 C94:H94 C100:H100 C107:H107 C112:H112 C119:H119 C124:H124 C129:H129 C134:H134 C139:H139 C144:H144 C150:H150 K153 L153 D154 C155 J155 L156 H157 J157 N157 F158 L158 N158 J159 L160 E161 I161 K161 L161 M161 E162 I162 K162 L162 M162 I163 K163 I164 H165 J165 H166 H167 K167 L167 M167 N167 H168 K168 L168 M168 N168 D169 E169 K169 L169 D63:D64 E156:E157 E159:E160 E163:E164 H17:H19 I17:I19 I153:I154 I155:I156 I159:I160 K155:K158 K159:K160 K164:K166 L163:L166 M153:M154 M155:M156 M159:M160 M163:M166 N153:N154 N164:N166 N37:O40 N57:O59 N53:O55"/>
    <dataValidation allowBlank="1" showErrorMessage="1" prompt="请不要在姓名中间添加空格！" sqref="G15:I15 H16:I16"/>
    <dataValidation type="list" allowBlank="1" showInputMessage="1" showErrorMessage="1" sqref="G17">
      <formula1>"专业技术四级,专业技术六级,专业技术七级,专业技术九级,专业技术十级,专业技术十二级"</formula1>
    </dataValidation>
    <dataValidation type="list" allowBlank="1" showErrorMessage="1" prompt="请在下拉列表中选择填写内容！" sqref="G18">
      <formula1>"专业教师组,基础教师组,学生思想政治教育教师组,非教师专业技术组"</formula1>
    </dataValidation>
    <dataValidation type="list" allowBlank="1" showErrorMessage="1" prompt="请在下拉列表中选择填写内容！" sqref="G19">
      <formula1>"专业技术三级,专业技术五级,专业技术六级,专业技术八级,专业技术九级,专业技术十一级"</formula1>
    </dataValidation>
    <dataValidation type="list" allowBlank="1" showErrorMessage="1" prompt="请在下拉列表中选择填写内容！" sqref="F24 F25 F69 F151">
      <formula1>"男,女"</formula1>
    </dataValidation>
    <dataValidation allowBlank="1" showErrorMessage="1" prompt="请规范填写时间！格式为“1999年10月”" sqref="H24:J24 I25 L25 H26:I26 H27:I27 I28:J28 H29 J29 K29 M29 I30:J30 B68 J68 K68 L68 H69:J69 B78 J78 K78 L78 B86 J86 K86 L86 B94 J94 K94 L94 B100 K100 L100 B107 K107 L107 B112 K112 L112 B119 K119 L119 B124 K124 L124 B129 K129 L129 B134 J134 K134 L134 B139 J139 K139 L139 B144 K144 L144 B150 J150 K150 L150 H151:J151 I110:I111"/>
    <dataValidation type="list" allowBlank="1" showInputMessage="1" showErrorMessage="1" sqref="D26:E26">
      <formula1>"博士,硕士,学士,无学位（本科毕业）,其他"</formula1>
    </dataValidation>
    <dataValidation type="list" allowBlank="1" showInputMessage="1" showErrorMessage="1" sqref="B67">
      <formula1>"师资培养成绩"</formula1>
    </dataValidation>
    <dataValidation type="list" allowBlank="1" showErrorMessage="1" prompt="请规范填写时间！格式为“1999年10月”" sqref="C67:D67">
      <formula1>"培养对象获得成果"</formula1>
    </dataValidation>
    <dataValidation type="list" allowBlank="1" showInputMessage="1" showErrorMessage="1" sqref="E67 E76 E77 D137 D138 E149 E73:E75 E137:E138 E147:E148 G89:G93 D97:E99">
      <formula1>"国家级,省级,市级,校级"</formula1>
    </dataValidation>
    <dataValidation allowBlank="1" showErrorMessage="1" prompt="请规范填写！格式为：“专著”“主编”“n/m”等" sqref="F67 G67 H67 M68 N68 F76 G76 H76 F77 G77 H77 M78 N78 M86 N86 M94 N94 J100 M100 N100 M104 N104 N105 N106 J107 M107 N107 J112 M112 N112 K115 N115 K116 N116 K117 N117 K118 N118 J119 M119 N119 K122 L122:M122 N122 K123 L123:M123 N123 J124 M124 N124 J129 M129 N129 M134 N134 M139 N139 G142 M142 N142 G143 M143 N143 J144 M144 N144 F149 G149 H149 M150 N150 E89:E93 F73:F75 F89:F93 F132:F133 F147:F148 G73:G75 G81:G85 G132:G133 G147:G148 H73:H75 H81:H85 H147:H148 J110:J111 M105:M106 N110:N111 L110:M111 L115:M118 F137:H138"/>
    <dataValidation type="list" allowBlank="1" showErrorMessage="1" prompt="请规范填写！格式为：“专著”“主编”“n/m”等" sqref="I67 I76 I77 I104 I105 I106 H115 H116 H117 H118 H122 H123 I142 I143 I149 I73:I75 I127:I128 I137:I138 I147:I148">
      <formula1>"独立完成,合作完成"</formula1>
    </dataValidation>
    <dataValidation allowBlank="1" showErrorMessage="1" error="请正确填写！！" prompt="请规范填写时间！格式为“1999年10月”" sqref="J67 J76 J77 J132 J133 J149 J73:J75 J81:J85 J137:J138 J147:J148"/>
    <dataValidation type="whole" operator="between" allowBlank="1" showErrorMessage="1" error="请正确填写！！" prompt="请规范填写时间！格式为“1999年10月”" sqref="K67 K76 K77 K104 L104 K105 K106 J115 J116 J117 J118 J122 J123 K133 K142 L142 K143 L143 K149 K73:K75 K81:K85 K127:K128 K137:K138 K147:K148 L105:L106">
      <formula1>1</formula1>
      <formula2>I67</formula2>
    </dataValidation>
    <dataValidation allowBlank="1" showErrorMessage="1" prompt="如：“陕西省人民政府”,“陕西省教育厅”,“教育部”等。" sqref="M67 N67 N73 N76 N77 N89 N92 N93 N97 N98 N99 N132 N133 N149 M73:M77 M81:M85 M89:M93 M97:M99 M127:M128 M132:M133 M137:M138 M147:M149 N74:N75 N81:N85 N90:N91 N127:N128 N137:N138 N147:N148"/>
    <dataValidation allowBlank="1" showErrorMessage="1" prompt="如被SCI、EI、SSCI、CSSCI等收录，请注明，并请注明几区及影响因子，著作还应注明撰写部分及字数" sqref="F104 F105 F106 F110 F111"/>
    <dataValidation type="list" allowBlank="1" showErrorMessage="1" prompt="请规范填写时间！格式为“1999年10月”" sqref="H104 H105 H106">
      <formula1>"是,否"</formula1>
    </dataValidation>
    <dataValidation type="whole" operator="between" allowBlank="1" showInputMessage="1" showErrorMessage="1" error="必须输入数字！" sqref="J104 J105 J106 I115 I116 I117 I118 I122 I123 J142 J143 J127:J128" errorStyle="warning">
      <formula1>2</formula1>
      <formula2>100</formula2>
    </dataValidation>
    <dataValidation type="list" allowBlank="1" showInputMessage="1" showErrorMessage="1" sqref="B115 B116 B117 B118">
      <formula1>其他参数!$C$2:$C$5</formula1>
    </dataValidation>
    <dataValidation allowBlank="1" showErrorMessage="1" prompt="如“类别”栏选择“课程”，请填写精品课程名称！如“《现代教育技术》国家级精品课程”" sqref="C115 C116 C117 C118 C122 C123 D127:D128"/>
    <dataValidation allowBlank="1" showErrorMessage="1" prompt="请规范填写！格式为：“主持人”“主编”“n/m”等" sqref="G115 G116 G117 G118 F122 F123 G127 G128 C142 C143 F97:F99"/>
    <dataValidation type="list" allowBlank="1" showInputMessage="1" showErrorMessage="1" sqref="B122 B123">
      <formula1>"横向技术项目"</formula1>
    </dataValidation>
    <dataValidation type="list" allowBlank="1" showErrorMessage="1" prompt="请规范填写时间！格式为“1999年10月”" sqref="C137 C138 C147:D147 C148:D148 C149:D149">
      <formula1>INDIRECT(B137)</formula1>
    </dataValidation>
    <dataValidation type="list" allowBlank="1" showInputMessage="1" showErrorMessage="1" sqref="B142 B143">
      <formula1>其他参数!$D$2:$D$5</formula1>
    </dataValidation>
    <dataValidation type="list" allowBlank="1" showInputMessage="1" showErrorMessage="1" sqref="B73:B77">
      <formula1>"学生工作相关荣誉"</formula1>
    </dataValidation>
    <dataValidation type="list" allowBlank="1" showErrorMessage="1" prompt="请规范填写时间！格式为“1999年10月”" sqref="B81:B85">
      <formula1>其他参数!$G$3:$G$7</formula1>
    </dataValidation>
    <dataValidation type="list" allowBlank="1" showErrorMessage="1" prompt="请在下拉列表中选择填写内容！" sqref="B104:B106">
      <formula1>其他参数!$A$2:$A$6</formula1>
    </dataValidation>
    <dataValidation type="list" allowBlank="1" showErrorMessage="1" prompt="请在下拉列表中选择填写内容！" sqref="B110:B111">
      <formula1>数据引用表!$G$2:$G$6</formula1>
    </dataValidation>
    <dataValidation type="list" allowBlank="1" showInputMessage="1" showErrorMessage="1" sqref="B127:B128">
      <formula1>其他参数!$E$2:$E$6</formula1>
    </dataValidation>
    <dataValidation type="list" allowBlank="1" showInputMessage="1" showErrorMessage="1" sqref="B132:B133">
      <formula1>"新媒体影响力"</formula1>
    </dataValidation>
    <dataValidation type="list" allowBlank="1" showInputMessage="1" showErrorMessage="1" sqref="B137:B138">
      <formula1>"团队建设"</formula1>
    </dataValidation>
    <dataValidation type="list" allowBlank="1" showInputMessage="1" showErrorMessage="1" sqref="B147:B149">
      <formula1>"个人荣誉,素质教育类社团指导"</formula1>
    </dataValidation>
    <dataValidation type="list" allowBlank="1" showInputMessage="1" showErrorMessage="1" sqref="C81:C85">
      <formula1>"一等奖,金奖,二等奖,银奖,三等奖,铜奖,无等级"</formula1>
    </dataValidation>
    <dataValidation type="list" allowBlank="1" showInputMessage="1" showErrorMessage="1" sqref="C127:C128">
      <formula1>"一等奖,二等奖,三等奖,无等级"</formula1>
    </dataValidation>
    <dataValidation type="list" allowBlank="1" showInputMessage="1" showErrorMessage="1" sqref="H110:H111">
      <formula1>"是,否"</formula1>
    </dataValidation>
    <dataValidation type="list" allowBlank="1" showErrorMessage="1" prompt="请规范填写！格式为：“专著”“主编”“n/m”等" sqref="I81:I85">
      <formula1>"独立完成,独立指导,合作指导"</formula1>
    </dataValidation>
    <dataValidation type="list" allowBlank="1" showInputMessage="1" showErrorMessage="1" sqref="I97:I99">
      <formula1>"独立完成,合作完成"</formula1>
    </dataValidation>
    <dataValidation type="list" allowBlank="1" showErrorMessage="1" prompt="请规范填写！格式为：“专著”“主编”“n/m”等" sqref="K110:K111">
      <formula1>"独著,第一主编,第二主编,参编"</formula1>
    </dataValidation>
    <dataValidation type="list" allowBlank="1" showInputMessage="1" showErrorMessage="1" sqref="B97:C99">
      <formula1>"辅导员名师工作室,学生工作相关孵化基地"</formula1>
    </dataValidation>
    <dataValidation type="list" allowBlank="1" showInputMessage="1" showErrorMessage="1" sqref="H132:I133">
      <formula1>"辽宁省教育厅,辽宁高校党建,辽沈智慧党建,其他省级以上政府部门,其他新媒体平台"</formula1>
    </dataValidation>
    <dataValidation type="list" allowBlank="1" showErrorMessage="1" prompt="请规范填写时间！格式为“1999年10月”" sqref="C73:D77">
      <formula1>数据引用表!$C$2:$C$3</formula1>
    </dataValidation>
    <dataValidation type="list" allowBlank="1" showInputMessage="1" showErrorMessage="1" sqref="C52:D61 C50:D51">
      <formula1>"国培项目,境外线上线下培训,一般培训进修"</formula1>
    </dataValidation>
    <dataValidation type="list" allowBlank="1" showErrorMessage="1" prompt="请规范填写时间！格式为“1999年10月”" sqref="C132:D133">
      <formula1>"原创署名文章,网络精品课程,新媒体视频,其他网络文化成果"</formula1>
    </dataValidation>
    <dataValidation type="list" allowBlank="1" showInputMessage="1" showErrorMessage="1" sqref="B89:C93">
      <formula1>"学生工作相关项目,学生工作相关案例,学生工作相关课程"</formula1>
    </dataValidation>
  </dataValidations>
  <printOptions horizontalCentered="1" verticalCentered="1"/>
  <pageMargins left="0.4875" right="0.196527777777778" top="0.472222222222222" bottom="0.66875" header="0.590277777777778" footer="0.236111111111111"/>
  <pageSetup paperSize="9" firstPageNumber="0" orientation="landscape" blackAndWhite="1" useFirstPageNumber="1" horizontalDpi="600"/>
  <headerFooter alignWithMargins="0" scaleWithDoc="0" differentFirst="1">
    <oddFooter>&amp;C第 &amp;P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7"/>
  <sheetViews>
    <sheetView workbookViewId="0">
      <selection activeCell="J22" sqref="J22"/>
    </sheetView>
  </sheetViews>
  <sheetFormatPr defaultColWidth="9" defaultRowHeight="12"/>
  <cols>
    <col min="1" max="1" width="5.25" style="13" customWidth="1"/>
    <col min="2" max="2" width="16" style="13" customWidth="1"/>
    <col min="3" max="3" width="8.375" style="13" customWidth="1"/>
    <col min="4" max="4" width="5.75" style="13" customWidth="1"/>
    <col min="5" max="5" width="12" style="13" customWidth="1"/>
    <col min="6" max="6" width="7.875" style="13" customWidth="1"/>
    <col min="7" max="8" width="14.5" style="13" customWidth="1"/>
    <col min="9" max="9" width="11.375" style="13" customWidth="1"/>
    <col min="10" max="10" width="11" style="13" customWidth="1"/>
    <col min="11" max="11" width="20" style="13" customWidth="1"/>
    <col min="12" max="12" width="17.5" style="13" customWidth="1"/>
    <col min="13" max="13" width="17.375" style="13" customWidth="1"/>
    <col min="14" max="14" width="17" style="13" customWidth="1"/>
    <col min="15" max="15" width="15.25" style="13" customWidth="1"/>
    <col min="16" max="16384" width="9" style="13"/>
  </cols>
  <sheetData>
    <row r="1" s="10" customFormat="1" ht="34.5" customHeight="1" spans="1:15">
      <c r="A1" s="14" t="s">
        <v>296</v>
      </c>
      <c r="B1" s="14"/>
      <c r="C1" s="14"/>
      <c r="D1" s="14"/>
      <c r="E1" s="14"/>
      <c r="F1" s="14"/>
      <c r="G1" s="14"/>
      <c r="H1" s="14"/>
      <c r="I1" s="14"/>
      <c r="J1" s="14"/>
      <c r="K1" s="14"/>
      <c r="L1" s="14"/>
      <c r="M1" s="14"/>
      <c r="N1" s="22"/>
      <c r="O1" s="22"/>
    </row>
    <row r="2" s="11" customFormat="1" ht="18" customHeight="1" spans="1:15">
      <c r="A2" s="15" t="s">
        <v>297</v>
      </c>
      <c r="B2" s="16" t="s">
        <v>30</v>
      </c>
      <c r="C2" s="15" t="s">
        <v>298</v>
      </c>
      <c r="D2" s="15" t="s">
        <v>299</v>
      </c>
      <c r="E2" s="16" t="s">
        <v>21</v>
      </c>
      <c r="F2" s="16" t="s">
        <v>22</v>
      </c>
      <c r="G2" s="16" t="s">
        <v>23</v>
      </c>
      <c r="H2" s="16" t="s">
        <v>35</v>
      </c>
      <c r="I2" s="23" t="s">
        <v>300</v>
      </c>
      <c r="J2" s="15" t="s">
        <v>301</v>
      </c>
      <c r="K2" s="15"/>
      <c r="L2" s="15"/>
      <c r="M2" s="15" t="s">
        <v>302</v>
      </c>
      <c r="N2" s="24" t="s">
        <v>303</v>
      </c>
      <c r="O2" s="15"/>
    </row>
    <row r="3" s="11" customFormat="1" ht="21" customHeight="1" spans="1:15">
      <c r="A3" s="15"/>
      <c r="B3" s="17"/>
      <c r="C3" s="15"/>
      <c r="D3" s="15"/>
      <c r="E3" s="17"/>
      <c r="F3" s="17"/>
      <c r="G3" s="17"/>
      <c r="H3" s="17"/>
      <c r="I3" s="25"/>
      <c r="J3" s="15" t="s">
        <v>79</v>
      </c>
      <c r="K3" s="15" t="s">
        <v>32</v>
      </c>
      <c r="L3" s="15" t="s">
        <v>27</v>
      </c>
      <c r="M3" s="15"/>
      <c r="N3" s="24" t="s">
        <v>288</v>
      </c>
      <c r="O3" s="15" t="s">
        <v>304</v>
      </c>
    </row>
    <row r="4" s="12" customFormat="1" ht="30" customHeight="1" spans="1:15">
      <c r="A4" s="18">
        <v>1</v>
      </c>
      <c r="B4" s="18">
        <f>量化赋分表!H14</f>
        <v>0</v>
      </c>
      <c r="C4" s="18">
        <f>量化赋分表!H15</f>
        <v>0</v>
      </c>
      <c r="D4" s="18">
        <f>量化赋分表!F25</f>
        <v>0</v>
      </c>
      <c r="E4" s="19">
        <f>量化赋分表!J25</f>
        <v>0</v>
      </c>
      <c r="F4" s="20" t="str">
        <f ca="1">量化赋分表!N25</f>
        <v/>
      </c>
      <c r="G4" s="18">
        <f>量化赋分表!D26</f>
        <v>0</v>
      </c>
      <c r="H4" s="18">
        <f>量化赋分表!D29</f>
        <v>0</v>
      </c>
      <c r="I4" s="18">
        <f>量化赋分表!J29</f>
        <v>0</v>
      </c>
      <c r="J4" s="18">
        <f>量化赋分表!H16</f>
        <v>0</v>
      </c>
      <c r="K4" s="19">
        <f>量化赋分表!I28</f>
        <v>0</v>
      </c>
      <c r="L4" s="20" t="str">
        <f ca="1">量化赋分表!N28</f>
        <v/>
      </c>
      <c r="M4" s="18" t="str">
        <f>量化赋分表!H19</f>
        <v>副教授</v>
      </c>
      <c r="N4" s="18" t="str">
        <f ca="1">量化赋分表!F169</f>
        <v>否</v>
      </c>
      <c r="O4" s="26">
        <f ca="1">量化赋分表!K169</f>
        <v>0</v>
      </c>
    </row>
    <row r="5" s="10" customFormat="1" ht="11.25" spans="1:15">
      <c r="A5" s="21"/>
      <c r="B5" s="21"/>
      <c r="C5" s="21"/>
      <c r="D5" s="21"/>
      <c r="E5" s="21"/>
      <c r="F5" s="21"/>
      <c r="G5" s="21"/>
      <c r="H5" s="21"/>
      <c r="I5" s="21"/>
      <c r="J5" s="21"/>
      <c r="K5" s="21"/>
      <c r="L5" s="21"/>
      <c r="M5" s="21"/>
      <c r="N5" s="21"/>
      <c r="O5" s="21"/>
    </row>
    <row r="6" s="10" customFormat="1" ht="11.25"/>
    <row r="7" s="10" customFormat="1" ht="11.25"/>
    <row r="8" s="10" customFormat="1" ht="11.25"/>
    <row r="9" s="10" customFormat="1" ht="11.25"/>
    <row r="10" s="10" customFormat="1" ht="11.25"/>
    <row r="11" s="10" customFormat="1" ht="11.25"/>
    <row r="12" s="10" customFormat="1" ht="11.25"/>
    <row r="13" s="10" customFormat="1" ht="11.25"/>
    <row r="14" s="10" customFormat="1" ht="11.25"/>
    <row r="15" s="10" customFormat="1" ht="11.25"/>
    <row r="16" s="10" customFormat="1" ht="11.25"/>
    <row r="17" s="10" customFormat="1" ht="11.25"/>
    <row r="18" s="10" customFormat="1" ht="11.25"/>
    <row r="19" s="10" customFormat="1" ht="11.25"/>
    <row r="20" s="10" customFormat="1" ht="11.25"/>
    <row r="21" s="10" customFormat="1" ht="11.25"/>
    <row r="22" s="10" customFormat="1" ht="11.25"/>
    <row r="23" s="10" customFormat="1" ht="11.25"/>
    <row r="24" s="10" customFormat="1" ht="11.25"/>
    <row r="25" s="10" customFormat="1" ht="11.25"/>
    <row r="26" s="10" customFormat="1" ht="11.25"/>
    <row r="27" s="10" customFormat="1" ht="11.25"/>
    <row r="28" s="10" customFormat="1" ht="11.25"/>
    <row r="29" s="10" customFormat="1" ht="11.25"/>
    <row r="30" s="10" customFormat="1" ht="11.25"/>
    <row r="31" s="10" customFormat="1" ht="11.25"/>
    <row r="32" s="10" customFormat="1" ht="11.25"/>
    <row r="33" s="10" customFormat="1" ht="11.25"/>
    <row r="34" s="10" customFormat="1" ht="11.25"/>
    <row r="35" s="10" customFormat="1" ht="11.25"/>
    <row r="36" s="10" customFormat="1" ht="11.25"/>
    <row r="37" s="10" customFormat="1" ht="11.25"/>
    <row r="38" s="10" customFormat="1" ht="11.25"/>
    <row r="39" s="10" customFormat="1" ht="11.25"/>
    <row r="40" s="10" customFormat="1" ht="11.25"/>
    <row r="41" s="10" customFormat="1" ht="11.25"/>
    <row r="42" s="10" customFormat="1" ht="11.25"/>
    <row r="43" s="10" customFormat="1" ht="11.25"/>
    <row r="44" s="10" customFormat="1" ht="11.25"/>
    <row r="45" s="10" customFormat="1" ht="11.25"/>
    <row r="46" s="10" customFormat="1" ht="11.25"/>
    <row r="47" s="10" customFormat="1" ht="11.25"/>
    <row r="48" s="10" customFormat="1" ht="11.25"/>
    <row r="49" s="10" customFormat="1" ht="11.25"/>
    <row r="50" s="10" customFormat="1" ht="11.25"/>
    <row r="51" s="10" customFormat="1" ht="11.25"/>
    <row r="52" s="10" customFormat="1" ht="11.25"/>
    <row r="53" s="10" customFormat="1" ht="11.25"/>
    <row r="54" s="10" customFormat="1" ht="11.25"/>
    <row r="55" s="10" customFormat="1" ht="11.25"/>
    <row r="56" s="10" customFormat="1" ht="11.25"/>
    <row r="57" s="10" customFormat="1" ht="11.25"/>
    <row r="58" s="10" customFormat="1" ht="11.25"/>
    <row r="59" s="10" customFormat="1" ht="11.25"/>
    <row r="60" s="10" customFormat="1" ht="11.25"/>
    <row r="61" s="10" customFormat="1" ht="11.25"/>
    <row r="62" s="10" customFormat="1" ht="11.25"/>
    <row r="63" s="10" customFormat="1" ht="11.25"/>
    <row r="64" s="10" customFormat="1" ht="11.25"/>
    <row r="65" s="10" customFormat="1" ht="11.25"/>
    <row r="66" s="10" customFormat="1" ht="11.25"/>
    <row r="67" s="10" customFormat="1" ht="11.25"/>
    <row r="68" s="10" customFormat="1" ht="11.25"/>
    <row r="69" s="10" customFormat="1" ht="11.25"/>
    <row r="70" s="10" customFormat="1" ht="11.25"/>
    <row r="71" s="10" customFormat="1" ht="11.25"/>
    <row r="72" s="10" customFormat="1" ht="11.25"/>
    <row r="73" s="10" customFormat="1" ht="11.25"/>
    <row r="74" s="10" customFormat="1" ht="11.25"/>
    <row r="75" s="10" customFormat="1" ht="11.25"/>
    <row r="76" s="10" customFormat="1" ht="11.25"/>
    <row r="77" s="10" customFormat="1" ht="11.25"/>
    <row r="78" s="10" customFormat="1" ht="11.25"/>
    <row r="79" s="10" customFormat="1" ht="11.25"/>
    <row r="80" s="10" customFormat="1" ht="11.25"/>
    <row r="81" s="10" customFormat="1" ht="11.25"/>
    <row r="82" s="10" customFormat="1" ht="11.25"/>
    <row r="83" s="10" customFormat="1" ht="11.25"/>
    <row r="84" s="10" customFormat="1" ht="11.25"/>
    <row r="85" s="10" customFormat="1" ht="11.25"/>
    <row r="86" s="10" customFormat="1" ht="11.25"/>
    <row r="87" s="10" customFormat="1" ht="11.25"/>
    <row r="88" s="10" customFormat="1" ht="11.25"/>
    <row r="89" s="10" customFormat="1" ht="11.25"/>
    <row r="90" s="10" customFormat="1" ht="11.25"/>
    <row r="91" s="10" customFormat="1" ht="11.25"/>
    <row r="92" s="10" customFormat="1" ht="11.25"/>
    <row r="93" s="10" customFormat="1" ht="11.25"/>
    <row r="94" s="10" customFormat="1" ht="11.25"/>
    <row r="95" s="10" customFormat="1" ht="11.25"/>
    <row r="96" s="10" customFormat="1" ht="11.25"/>
    <row r="97" s="10" customFormat="1" ht="11.25"/>
    <row r="98" s="10" customFormat="1" ht="11.25"/>
    <row r="99" s="10" customFormat="1" ht="11.25"/>
    <row r="100" s="10" customFormat="1" ht="11.25"/>
    <row r="101" s="10" customFormat="1" ht="11.25"/>
    <row r="102" s="10" customFormat="1" ht="11.25"/>
    <row r="103" s="10" customFormat="1" ht="11.25"/>
    <row r="104" s="10" customFormat="1" ht="11.25"/>
    <row r="105" s="10" customFormat="1" ht="11.25"/>
    <row r="106" s="10" customFormat="1" ht="11.25"/>
    <row r="107" s="10" customFormat="1" ht="11.25"/>
    <row r="108" s="10" customFormat="1" ht="11.25"/>
    <row r="109" s="10" customFormat="1" ht="11.25"/>
    <row r="110" s="10" customFormat="1" ht="11.25"/>
    <row r="111" s="10" customFormat="1" ht="11.25"/>
    <row r="112" s="10" customFormat="1" ht="11.25"/>
    <row r="113" s="10" customFormat="1" ht="11.25"/>
    <row r="114" s="10" customFormat="1" ht="11.25"/>
    <row r="115" s="10" customFormat="1" ht="11.25"/>
    <row r="116" s="10" customFormat="1" ht="11.25"/>
    <row r="117" s="10" customFormat="1" ht="11.25"/>
    <row r="118" s="10" customFormat="1" ht="11.25"/>
    <row r="119" s="10" customFormat="1" ht="11.25"/>
    <row r="120" s="10" customFormat="1" ht="11.25"/>
    <row r="121" s="10" customFormat="1" ht="11.25"/>
    <row r="122" s="10" customFormat="1" ht="11.25"/>
    <row r="123" s="10" customFormat="1" ht="11.25"/>
    <row r="124" s="10" customFormat="1" ht="11.25"/>
    <row r="125" s="10" customFormat="1" ht="11.25"/>
    <row r="126" s="10" customFormat="1" ht="11.25"/>
    <row r="127" s="10" customFormat="1" ht="11.25"/>
    <row r="128" s="10" customFormat="1" ht="11.25"/>
    <row r="129" s="10" customFormat="1" ht="11.25"/>
    <row r="130" s="10" customFormat="1" ht="11.25"/>
    <row r="131" s="10" customFormat="1" ht="11.25"/>
    <row r="132" s="10" customFormat="1" ht="11.25"/>
    <row r="133" s="10" customFormat="1" ht="11.25"/>
    <row r="134" s="10" customFormat="1" ht="11.25"/>
    <row r="135" s="10" customFormat="1" ht="11.25"/>
    <row r="136" s="10" customFormat="1" ht="11.25"/>
    <row r="137" s="10" customFormat="1" ht="11.25"/>
    <row r="138" s="10" customFormat="1" ht="11.25"/>
    <row r="139" s="10" customFormat="1" ht="11.25"/>
    <row r="140" s="10" customFormat="1" ht="11.25"/>
    <row r="141" s="10" customFormat="1" ht="11.25"/>
    <row r="142" s="10" customFormat="1" ht="11.25"/>
    <row r="143" s="10" customFormat="1" ht="11.25"/>
    <row r="144" s="10" customFormat="1" ht="11.25"/>
    <row r="145" s="10" customFormat="1" ht="11.25"/>
    <row r="146" s="10" customFormat="1" ht="11.25"/>
    <row r="147" s="10" customFormat="1" ht="11.25"/>
    <row r="148" s="10" customFormat="1" ht="11.25"/>
    <row r="149" s="10" customFormat="1" ht="11.25"/>
    <row r="150" s="10" customFormat="1" ht="11.25"/>
    <row r="151" s="10" customFormat="1" ht="11.25"/>
    <row r="152" s="10" customFormat="1" ht="11.25"/>
    <row r="153" s="10" customFormat="1" ht="11.25"/>
    <row r="154" s="10" customFormat="1" ht="11.25"/>
    <row r="155" s="10" customFormat="1" ht="11.25"/>
    <row r="156" s="10" customFormat="1" ht="11.25"/>
    <row r="157" s="10" customFormat="1" ht="11.25"/>
    <row r="158" s="10" customFormat="1" ht="11.25"/>
    <row r="159" s="10" customFormat="1" ht="11.25"/>
    <row r="160" s="10" customFormat="1" ht="11.25"/>
    <row r="161" s="10" customFormat="1" ht="11.25"/>
    <row r="162" s="10" customFormat="1" ht="11.25"/>
    <row r="163" s="10" customFormat="1" ht="11.25"/>
    <row r="164" s="10" customFormat="1" ht="11.25"/>
    <row r="165" s="10" customFormat="1" ht="11.25"/>
    <row r="166" s="10" customFormat="1" ht="11.25"/>
    <row r="167" s="10" customFormat="1" ht="11.25"/>
    <row r="168" s="10" customFormat="1" ht="11.25"/>
    <row r="169" s="10" customFormat="1" ht="11.25"/>
    <row r="170" s="10" customFormat="1" ht="11.25"/>
    <row r="171" s="10" customFormat="1" ht="11.25"/>
    <row r="172" s="10" customFormat="1" ht="11.25"/>
    <row r="173" s="10" customFormat="1" ht="11.25"/>
    <row r="174" s="10" customFormat="1" ht="11.25"/>
    <row r="175" s="10" customFormat="1" ht="11.25"/>
    <row r="176" s="10" customFormat="1" ht="11.25"/>
    <row r="177" s="10" customFormat="1" ht="11.25"/>
    <row r="178" s="10" customFormat="1" ht="11.25"/>
    <row r="179" s="10" customFormat="1" ht="11.25"/>
    <row r="180" s="10" customFormat="1" ht="11.25"/>
    <row r="181" s="10" customFormat="1" ht="11.25"/>
    <row r="182" s="10" customFormat="1" ht="11.25"/>
    <row r="183" s="10" customFormat="1" ht="11.25"/>
    <row r="184" s="10" customFormat="1" ht="11.25"/>
    <row r="185" s="10" customFormat="1" ht="11.25"/>
    <row r="186" s="10" customFormat="1" ht="11.25"/>
    <row r="187" s="10" customFormat="1" ht="11.25"/>
    <row r="188" s="10" customFormat="1" ht="11.25"/>
    <row r="189" s="10" customFormat="1" ht="11.25"/>
    <row r="190" s="10" customFormat="1" ht="11.25"/>
    <row r="191" s="10" customFormat="1" ht="11.25"/>
    <row r="192" s="10" customFormat="1" ht="11.25"/>
    <row r="193" s="10" customFormat="1" ht="11.25"/>
    <row r="194" s="10" customFormat="1" ht="11.25"/>
    <row r="195" s="10" customFormat="1" ht="11.25"/>
    <row r="196" s="10" customFormat="1" ht="11.25"/>
    <row r="197" s="10" customFormat="1" ht="11.25"/>
    <row r="198" s="10" customFormat="1" ht="11.25"/>
    <row r="199" s="10" customFormat="1" ht="11.25"/>
    <row r="200" s="10" customFormat="1" ht="11.25"/>
    <row r="201" s="10" customFormat="1" ht="11.25"/>
    <row r="202" s="10" customFormat="1" ht="11.25"/>
    <row r="203" s="10" customFormat="1" ht="11.25"/>
    <row r="204" s="10" customFormat="1" ht="11.25"/>
    <row r="205" s="10" customFormat="1" ht="11.25"/>
    <row r="206" s="10" customFormat="1" ht="11.25"/>
    <row r="207" s="10" customFormat="1" ht="11.25"/>
    <row r="208" s="10" customFormat="1" ht="11.25"/>
    <row r="209" s="10" customFormat="1" ht="11.25"/>
    <row r="210" s="10" customFormat="1" ht="11.25"/>
    <row r="211" s="10" customFormat="1" ht="11.25"/>
    <row r="212" s="10" customFormat="1" ht="11.25"/>
    <row r="213" s="10" customFormat="1" ht="11.25"/>
    <row r="214" s="10" customFormat="1" ht="11.25"/>
    <row r="215" s="10" customFormat="1" ht="11.25"/>
    <row r="216" s="10" customFormat="1" ht="11.25"/>
    <row r="217" s="10" customFormat="1" ht="11.25"/>
    <row r="218" s="10" customFormat="1" ht="11.25"/>
    <row r="219" s="10" customFormat="1" ht="11.25"/>
    <row r="220" s="10" customFormat="1" ht="11.25"/>
    <row r="221" s="10" customFormat="1" ht="11.25"/>
    <row r="222" s="10" customFormat="1" ht="11.25"/>
    <row r="223" s="10" customFormat="1" ht="11.25"/>
    <row r="224" s="10" customFormat="1" ht="11.25"/>
    <row r="225" s="10" customFormat="1" ht="11.25"/>
    <row r="226" s="10" customFormat="1" ht="11.25"/>
    <row r="227" s="10" customFormat="1" ht="11.25"/>
    <row r="228" s="10" customFormat="1" ht="11.25"/>
    <row r="229" s="10" customFormat="1" ht="11.25"/>
    <row r="230" s="10" customFormat="1" ht="11.25"/>
    <row r="231" s="10" customFormat="1" ht="11.25"/>
    <row r="232" s="10" customFormat="1" ht="11.25"/>
    <row r="233" s="10" customFormat="1" ht="11.25"/>
    <row r="234" s="10" customFormat="1" ht="11.25"/>
    <row r="235" s="10" customFormat="1" ht="11.25"/>
    <row r="236" s="10" customFormat="1" ht="11.25"/>
    <row r="237" s="10" customFormat="1" ht="11.25"/>
    <row r="238" s="10" customFormat="1" ht="11.25"/>
    <row r="239" s="10" customFormat="1" ht="11.25"/>
    <row r="240" s="10" customFormat="1" ht="11.25"/>
    <row r="241" s="10" customFormat="1" ht="11.25"/>
    <row r="242" s="10" customFormat="1" ht="11.25"/>
    <row r="243" s="10" customFormat="1" ht="11.25"/>
    <row r="244" s="10" customFormat="1" ht="11.25"/>
    <row r="245" s="10" customFormat="1" ht="11.25"/>
    <row r="246" s="10" customFormat="1" ht="11.25"/>
    <row r="247" s="10" customFormat="1" ht="11.25"/>
    <row r="248" s="10" customFormat="1" ht="11.25"/>
    <row r="249" s="10" customFormat="1" ht="11.25"/>
    <row r="250" s="10" customFormat="1" ht="11.25"/>
    <row r="251" s="10" customFormat="1" ht="11.25"/>
    <row r="252" s="10" customFormat="1" ht="11.25"/>
    <row r="253" s="10" customFormat="1" ht="11.25"/>
    <row r="254" s="10" customFormat="1" ht="11.25"/>
    <row r="255" s="10" customFormat="1" ht="11.25"/>
    <row r="256" s="10" customFormat="1" ht="11.25"/>
    <row r="257" s="10" customFormat="1" ht="11.25"/>
    <row r="258" s="10" customFormat="1" ht="11.25"/>
    <row r="259" s="10" customFormat="1" ht="11.25"/>
    <row r="260" s="10" customFormat="1" ht="11.25"/>
    <row r="261" s="10" customFormat="1" ht="11.25"/>
    <row r="262" s="10" customFormat="1" ht="11.25"/>
    <row r="263" s="10" customFormat="1" ht="11.25"/>
    <row r="264" s="10" customFormat="1" ht="11.25"/>
    <row r="265" s="10" customFormat="1" ht="11.25"/>
    <row r="266" s="10" customFormat="1" ht="11.25"/>
    <row r="267" s="10" customFormat="1" ht="11.25"/>
    <row r="268" s="10" customFormat="1" ht="11.25"/>
    <row r="269" s="10" customFormat="1" ht="11.25"/>
    <row r="270" s="10" customFormat="1" ht="11.25"/>
    <row r="271" s="10" customFormat="1" ht="11.25"/>
    <row r="272" s="10" customFormat="1" ht="11.25"/>
    <row r="273" s="10" customFormat="1" ht="11.25"/>
    <row r="274" s="10" customFormat="1" ht="11.25"/>
    <row r="275" s="10" customFormat="1" ht="11.25"/>
    <row r="276" s="10" customFormat="1" ht="11.25"/>
    <row r="277" s="10" customFormat="1" ht="11.25"/>
    <row r="278" s="10" customFormat="1" ht="11.25"/>
    <row r="279" s="10" customFormat="1" ht="11.25"/>
    <row r="280" s="10" customFormat="1" ht="11.25"/>
    <row r="281" s="10" customFormat="1" ht="11.25"/>
    <row r="282" s="10" customFormat="1" ht="11.25"/>
    <row r="283" s="10" customFormat="1" ht="11.25"/>
    <row r="284" s="10" customFormat="1" ht="11.25"/>
    <row r="285" s="10" customFormat="1" ht="11.25"/>
    <row r="286" s="10" customFormat="1" ht="11.25"/>
    <row r="287" s="10" customFormat="1" ht="11.25"/>
  </sheetData>
  <sheetProtection password="D01C" sheet="1" objects="1"/>
  <mergeCells count="13">
    <mergeCell ref="A1:O1"/>
    <mergeCell ref="J2:L2"/>
    <mergeCell ref="N2:O2"/>
    <mergeCell ref="A2:A3"/>
    <mergeCell ref="B2:B3"/>
    <mergeCell ref="C2:C3"/>
    <mergeCell ref="D2:D3"/>
    <mergeCell ref="E2:E3"/>
    <mergeCell ref="F2:F3"/>
    <mergeCell ref="G2:G3"/>
    <mergeCell ref="H2:H3"/>
    <mergeCell ref="I2:I3"/>
    <mergeCell ref="M2:M3"/>
  </mergeCells>
  <pageMargins left="0.75" right="0.75" top="1" bottom="1"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selection activeCell="H1" sqref="H1:H7"/>
    </sheetView>
  </sheetViews>
  <sheetFormatPr defaultColWidth="9" defaultRowHeight="13" customHeight="1" outlineLevelRow="7"/>
  <cols>
    <col min="1" max="1" width="18.625" customWidth="1"/>
    <col min="2" max="2" width="16" customWidth="1"/>
    <col min="3" max="3" width="21.5" customWidth="1"/>
    <col min="4" max="4" width="13.75" customWidth="1"/>
    <col min="5" max="5" width="19" customWidth="1"/>
    <col min="6" max="6" width="20.375" customWidth="1"/>
    <col min="7" max="7" width="33.75" customWidth="1"/>
    <col min="8" max="8" width="20" customWidth="1"/>
    <col min="9" max="9" width="21.5" customWidth="1"/>
    <col min="10" max="11" width="11.5" customWidth="1"/>
    <col min="12" max="12" width="9.375" customWidth="1"/>
    <col min="13" max="13" width="9.125" customWidth="1"/>
    <col min="14" max="14" width="13.5" customWidth="1"/>
    <col min="15" max="16" width="16.875" customWidth="1"/>
    <col min="17" max="18" width="9.375" customWidth="1"/>
    <col min="19" max="19" width="11.5" customWidth="1"/>
    <col min="20" max="22" width="9.375" customWidth="1"/>
    <col min="23" max="23" width="11.25" customWidth="1"/>
    <col min="24" max="24" width="12.75" customWidth="1"/>
    <col min="25" max="25" width="9.125" customWidth="1"/>
    <col min="26" max="26" width="18.25" customWidth="1"/>
  </cols>
  <sheetData>
    <row r="1" customHeight="1" spans="1:9">
      <c r="A1" s="3" t="s">
        <v>305</v>
      </c>
      <c r="B1" s="4" t="s">
        <v>306</v>
      </c>
      <c r="C1" s="3" t="s">
        <v>307</v>
      </c>
      <c r="D1" s="4" t="s">
        <v>308</v>
      </c>
      <c r="E1" s="3" t="s">
        <v>309</v>
      </c>
      <c r="F1" s="3" t="s">
        <v>310</v>
      </c>
      <c r="G1" s="2" t="s">
        <v>311</v>
      </c>
      <c r="H1" s="3" t="s">
        <v>312</v>
      </c>
      <c r="I1" s="2" t="s">
        <v>313</v>
      </c>
    </row>
    <row r="2" customHeight="1" spans="1:9">
      <c r="A2" s="3" t="s">
        <v>314</v>
      </c>
      <c r="B2" s="4" t="s">
        <v>315</v>
      </c>
      <c r="C2" s="3" t="s">
        <v>312</v>
      </c>
      <c r="D2" s="4" t="s">
        <v>316</v>
      </c>
      <c r="E2" s="3" t="s">
        <v>317</v>
      </c>
      <c r="F2" s="3" t="s">
        <v>318</v>
      </c>
      <c r="G2" s="6" t="s">
        <v>319</v>
      </c>
      <c r="H2" s="3" t="s">
        <v>320</v>
      </c>
      <c r="I2" s="8" t="s">
        <v>321</v>
      </c>
    </row>
    <row r="3" customHeight="1" spans="1:8">
      <c r="A3" s="3" t="s">
        <v>322</v>
      </c>
      <c r="C3" s="3" t="s">
        <v>323</v>
      </c>
      <c r="D3" s="4" t="s">
        <v>324</v>
      </c>
      <c r="E3" s="3" t="s">
        <v>325</v>
      </c>
      <c r="F3" s="3" t="s">
        <v>326</v>
      </c>
      <c r="G3" s="6" t="s">
        <v>327</v>
      </c>
      <c r="H3" s="3" t="s">
        <v>328</v>
      </c>
    </row>
    <row r="4" customHeight="1" spans="3:8">
      <c r="C4" s="3" t="s">
        <v>329</v>
      </c>
      <c r="D4" s="4" t="s">
        <v>330</v>
      </c>
      <c r="E4" s="3" t="s">
        <v>331</v>
      </c>
      <c r="F4" s="3" t="s">
        <v>332</v>
      </c>
      <c r="G4" s="6" t="s">
        <v>175</v>
      </c>
      <c r="H4" s="3" t="s">
        <v>333</v>
      </c>
    </row>
    <row r="5" customHeight="1" spans="3:8">
      <c r="C5" s="3" t="s">
        <v>313</v>
      </c>
      <c r="D5" s="4" t="s">
        <v>334</v>
      </c>
      <c r="E5" s="3" t="s">
        <v>335</v>
      </c>
      <c r="F5" s="3" t="s">
        <v>336</v>
      </c>
      <c r="G5" s="6" t="s">
        <v>177</v>
      </c>
      <c r="H5" s="3" t="s">
        <v>337</v>
      </c>
    </row>
    <row r="6" customHeight="1" spans="5:8">
      <c r="E6" s="3" t="s">
        <v>338</v>
      </c>
      <c r="G6" s="6" t="s">
        <v>176</v>
      </c>
      <c r="H6" s="3" t="s">
        <v>339</v>
      </c>
    </row>
    <row r="7" customHeight="1" spans="3:8">
      <c r="C7" s="9"/>
      <c r="E7" s="3" t="s">
        <v>340</v>
      </c>
      <c r="G7" s="6"/>
      <c r="H7" s="3" t="s">
        <v>341</v>
      </c>
    </row>
    <row r="8" customHeight="1" spans="3:5">
      <c r="C8" s="9"/>
      <c r="E8" s="3" t="s">
        <v>342</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topLeftCell="G1" workbookViewId="0">
      <selection activeCell="Q1" sqref="Q1:Q2"/>
    </sheetView>
  </sheetViews>
  <sheetFormatPr defaultColWidth="9" defaultRowHeight="14.25"/>
  <cols>
    <col min="1" max="1" width="22.25" customWidth="1"/>
    <col min="2" max="2" width="28.625" customWidth="1"/>
    <col min="3" max="3" width="28.25" customWidth="1"/>
    <col min="4" max="4" width="14.75" customWidth="1"/>
    <col min="5" max="6" width="21.75" customWidth="1"/>
    <col min="7" max="7" width="28.875" customWidth="1"/>
    <col min="8" max="8" width="25.625" customWidth="1"/>
    <col min="9" max="9" width="25" customWidth="1"/>
    <col min="10" max="10" width="22.25" customWidth="1"/>
    <col min="11" max="11" width="18.875" customWidth="1"/>
    <col min="12" max="12" width="22.625" customWidth="1"/>
    <col min="13" max="15" width="14.75" customWidth="1"/>
    <col min="16" max="16" width="16.625" customWidth="1"/>
    <col min="17" max="17" width="19.75" customWidth="1"/>
  </cols>
  <sheetData>
    <row r="1" ht="25" customHeight="1" spans="1:17">
      <c r="A1" s="1" t="s">
        <v>343</v>
      </c>
      <c r="B1" s="2" t="s">
        <v>311</v>
      </c>
      <c r="C1" s="3" t="s">
        <v>344</v>
      </c>
      <c r="D1" s="4" t="s">
        <v>345</v>
      </c>
      <c r="E1" s="3" t="s">
        <v>100</v>
      </c>
      <c r="F1" s="3" t="s">
        <v>346</v>
      </c>
      <c r="G1" s="3" t="s">
        <v>347</v>
      </c>
      <c r="H1" s="3" t="s">
        <v>348</v>
      </c>
      <c r="I1" s="3" t="s">
        <v>349</v>
      </c>
      <c r="J1" s="3" t="s">
        <v>350</v>
      </c>
      <c r="K1" s="3" t="s">
        <v>312</v>
      </c>
      <c r="L1" s="3" t="s">
        <v>323</v>
      </c>
      <c r="M1" s="3" t="s">
        <v>351</v>
      </c>
      <c r="N1" s="3" t="s">
        <v>315</v>
      </c>
      <c r="O1" s="2" t="s">
        <v>352</v>
      </c>
      <c r="P1" s="8" t="s">
        <v>353</v>
      </c>
      <c r="Q1" s="2" t="s">
        <v>313</v>
      </c>
    </row>
    <row r="2" spans="1:17">
      <c r="A2" s="5" t="s">
        <v>354</v>
      </c>
      <c r="B2" s="6" t="s">
        <v>319</v>
      </c>
      <c r="C2" s="3" t="s">
        <v>191</v>
      </c>
      <c r="D2" s="4" t="s">
        <v>222</v>
      </c>
      <c r="E2" s="3" t="s">
        <v>355</v>
      </c>
      <c r="F2" s="4" t="s">
        <v>316</v>
      </c>
      <c r="G2" s="4" t="s">
        <v>356</v>
      </c>
      <c r="H2" s="3" t="s">
        <v>357</v>
      </c>
      <c r="I2" s="3" t="s">
        <v>358</v>
      </c>
      <c r="J2" s="4" t="s">
        <v>359</v>
      </c>
      <c r="K2" s="3" t="s">
        <v>320</v>
      </c>
      <c r="L2" s="3" t="s">
        <v>360</v>
      </c>
      <c r="M2" s="3" t="s">
        <v>361</v>
      </c>
      <c r="N2" s="4" t="s">
        <v>315</v>
      </c>
      <c r="O2" s="2" t="s">
        <v>362</v>
      </c>
      <c r="P2" s="2" t="s">
        <v>341</v>
      </c>
      <c r="Q2" s="8" t="s">
        <v>321</v>
      </c>
    </row>
    <row r="3" spans="1:16">
      <c r="A3" s="5" t="s">
        <v>363</v>
      </c>
      <c r="B3" s="6" t="s">
        <v>181</v>
      </c>
      <c r="C3" s="3" t="s">
        <v>192</v>
      </c>
      <c r="D3" s="4" t="s">
        <v>223</v>
      </c>
      <c r="E3" s="3" t="s">
        <v>364</v>
      </c>
      <c r="F3" s="4" t="s">
        <v>324</v>
      </c>
      <c r="G3" s="4" t="s">
        <v>316</v>
      </c>
      <c r="H3" s="3" t="s">
        <v>365</v>
      </c>
      <c r="I3" s="3" t="s">
        <v>366</v>
      </c>
      <c r="J3" s="4" t="s">
        <v>367</v>
      </c>
      <c r="K3" s="3" t="s">
        <v>368</v>
      </c>
      <c r="L3" s="3" t="s">
        <v>369</v>
      </c>
      <c r="O3" s="2" t="s">
        <v>322</v>
      </c>
      <c r="P3" s="2" t="s">
        <v>370</v>
      </c>
    </row>
    <row r="4" spans="1:16">
      <c r="A4" s="5" t="s">
        <v>371</v>
      </c>
      <c r="B4" s="6" t="s">
        <v>327</v>
      </c>
      <c r="C4" s="3" t="s">
        <v>193</v>
      </c>
      <c r="D4" s="4" t="s">
        <v>224</v>
      </c>
      <c r="E4" s="3" t="s">
        <v>372</v>
      </c>
      <c r="F4" s="4" t="s">
        <v>330</v>
      </c>
      <c r="G4" s="4" t="s">
        <v>324</v>
      </c>
      <c r="H4" s="3" t="s">
        <v>373</v>
      </c>
      <c r="I4" s="3" t="s">
        <v>374</v>
      </c>
      <c r="J4" s="4"/>
      <c r="K4" s="3" t="s">
        <v>375</v>
      </c>
      <c r="L4" s="3"/>
      <c r="O4" s="2" t="s">
        <v>376</v>
      </c>
      <c r="P4" s="2"/>
    </row>
    <row r="5" spans="1:11">
      <c r="A5" s="5" t="s">
        <v>154</v>
      </c>
      <c r="B5" s="6" t="s">
        <v>377</v>
      </c>
      <c r="C5" s="3" t="s">
        <v>194</v>
      </c>
      <c r="D5" s="4" t="s">
        <v>225</v>
      </c>
      <c r="E5" s="3" t="s">
        <v>378</v>
      </c>
      <c r="F5" s="4" t="s">
        <v>379</v>
      </c>
      <c r="G5" s="4" t="s">
        <v>330</v>
      </c>
      <c r="H5" s="3" t="s">
        <v>380</v>
      </c>
      <c r="I5" s="3" t="s">
        <v>381</v>
      </c>
      <c r="K5" s="3" t="s">
        <v>328</v>
      </c>
    </row>
    <row r="6" spans="1:11">
      <c r="A6" s="5" t="s">
        <v>155</v>
      </c>
      <c r="B6" s="6" t="s">
        <v>175</v>
      </c>
      <c r="C6" s="3" t="s">
        <v>195</v>
      </c>
      <c r="E6" s="3" t="s">
        <v>382</v>
      </c>
      <c r="F6" s="4" t="s">
        <v>334</v>
      </c>
      <c r="G6" s="4" t="s">
        <v>379</v>
      </c>
      <c r="H6" s="3" t="s">
        <v>383</v>
      </c>
      <c r="K6" s="3" t="s">
        <v>333</v>
      </c>
    </row>
    <row r="7" spans="1:11">
      <c r="A7" s="5" t="s">
        <v>156</v>
      </c>
      <c r="B7" s="6" t="s">
        <v>384</v>
      </c>
      <c r="C7" s="3"/>
      <c r="E7" s="3" t="s">
        <v>385</v>
      </c>
      <c r="G7" s="4" t="s">
        <v>334</v>
      </c>
      <c r="H7" s="3" t="s">
        <v>386</v>
      </c>
      <c r="K7" s="3" t="s">
        <v>337</v>
      </c>
    </row>
    <row r="8" spans="1:11">
      <c r="A8" s="5" t="s">
        <v>157</v>
      </c>
      <c r="B8" s="6" t="s">
        <v>177</v>
      </c>
      <c r="E8" s="3" t="s">
        <v>387</v>
      </c>
      <c r="H8" s="3" t="s">
        <v>388</v>
      </c>
      <c r="K8" s="3" t="s">
        <v>339</v>
      </c>
    </row>
    <row r="9" spans="1:11">
      <c r="A9" s="5" t="s">
        <v>158</v>
      </c>
      <c r="B9" s="6" t="s">
        <v>389</v>
      </c>
      <c r="E9" s="3" t="s">
        <v>390</v>
      </c>
      <c r="K9" s="3"/>
    </row>
    <row r="10" spans="2:5">
      <c r="B10" s="6" t="s">
        <v>176</v>
      </c>
      <c r="E10" s="3" t="s">
        <v>391</v>
      </c>
    </row>
    <row r="11" spans="2:5">
      <c r="B11" s="6" t="s">
        <v>178</v>
      </c>
      <c r="E11" s="3" t="s">
        <v>392</v>
      </c>
    </row>
    <row r="13" spans="2:2">
      <c r="B13" s="7"/>
    </row>
    <row r="14" spans="2:2">
      <c r="B14" s="7"/>
    </row>
    <row r="15" spans="2:2">
      <c r="B15" s="7"/>
    </row>
    <row r="16" spans="2:2">
      <c r="B16" s="7"/>
    </row>
    <row r="17" spans="2:2">
      <c r="B17" s="7"/>
    </row>
    <row r="18" spans="2:2">
      <c r="B18" s="7"/>
    </row>
    <row r="19" spans="2:2">
      <c r="B19" s="7"/>
    </row>
    <row r="20" spans="2:2">
      <c r="B20" s="7"/>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www.ftpdown.com</Company>
  <Application>Microsoft Excel</Application>
  <HeadingPairs>
    <vt:vector size="2" baseType="variant">
      <vt:variant>
        <vt:lpstr>工作表</vt:lpstr>
      </vt:variant>
      <vt:variant>
        <vt:i4>4</vt:i4>
      </vt:variant>
    </vt:vector>
  </HeadingPairs>
  <TitlesOfParts>
    <vt:vector size="4" baseType="lpstr">
      <vt:lpstr>量化赋分表</vt:lpstr>
      <vt:lpstr>汇总表</vt:lpstr>
      <vt:lpstr>数据引用表</vt:lpstr>
      <vt:lpstr>其他参数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FtpDown</dc:creator>
  <cp:lastModifiedBy>…点辐射…</cp:lastModifiedBy>
  <dcterms:created xsi:type="dcterms:W3CDTF">2011-03-12T05:04:00Z</dcterms:created>
  <cp:lastPrinted>2022-11-17T07:18:00Z</cp:lastPrinted>
  <dcterms:modified xsi:type="dcterms:W3CDTF">2023-12-04T07:08:58Z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77E0A20230F045CBA1E71E5E33B080C5_13</vt:lpwstr>
  </property>
  <property fmtid="{D5CDD505-2E9C-101B-9397-08002B2CF9AE}" pid="3" name="KSOProductBuildVer">
    <vt:lpwstr>2052-12.1.0.15712</vt:lpwstr>
  </property>
</Properties>
</file>