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workbookPassword="D01C" lockStructure="1"/>
  <bookViews>
    <workbookView windowWidth="27945" windowHeight="12375"/>
  </bookViews>
  <sheets>
    <sheet name="量化赋分表" sheetId="4" r:id="rId1"/>
    <sheet name="汇总表" sheetId="5" r:id="rId2"/>
    <sheet name="数据引用表" sheetId="15" state="hidden" r:id="rId3"/>
    <sheet name="其他参数" sheetId="14" state="hidden" r:id="rId4"/>
  </sheets>
  <definedNames>
    <definedName name="_xlnm.Print_Area" localSheetId="0">量化赋分表!$B$6:$O$214</definedName>
    <definedName name="本人">数据引用表!#REF!</definedName>
    <definedName name="二等奖">数据引用表!#REF!</definedName>
    <definedName name="辅导员名师">数据引用表!#REF!</definedName>
    <definedName name="骨干教师">数据引用表!#REF!</definedName>
    <definedName name="技能大师">数据引用表!#REF!</definedName>
    <definedName name="教材建设奖">数据引用表!#REF!</definedName>
    <definedName name="教师教学创新团队">数据引用表!#REF!</definedName>
    <definedName name="教学名师">数据引用表!#REF!</definedName>
    <definedName name="精品教材">数据引用表!#REF!</definedName>
    <definedName name="精品课程">数据引用表!#REF!</definedName>
    <definedName name="精品课程建设">数据引用表!#REF!</definedName>
    <definedName name="竞赛、比赛、大赛">数据引用表!#REF!</definedName>
    <definedName name="竞赛比赛">数据引用表!#REF!</definedName>
    <definedName name="科研创新团队">数据引用表!#REF!</definedName>
    <definedName name="科研骨干">数据引用表!#REF!</definedName>
    <definedName name="课程建设">其他参数!$I$2:$I$5</definedName>
    <definedName name="品牌专业">数据引用表!#REF!</definedName>
    <definedName name="其他">数据引用表!#REF!</definedName>
    <definedName name="青年教师">数据引用表!#REF!</definedName>
    <definedName name="人才培养方案制定">数据引用表!#REF!</definedName>
    <definedName name="三等奖">数据引用表!#REF!</definedName>
    <definedName name="示范专业">数据引用表!#REF!</definedName>
    <definedName name="书证融通">数据引用表!#REF!</definedName>
    <definedName name="双高专业群">数据引用表!#REF!</definedName>
    <definedName name="团队建设">其他参数!$J$2:$J$3</definedName>
    <definedName name="学生技能大赛">数据引用表!#REF!</definedName>
    <definedName name="学术带头人">数据引用表!#REF!</definedName>
    <definedName name="一等奖">数据引用表!#REF!</definedName>
    <definedName name="优秀教师">数据引用表!#REF!</definedName>
    <definedName name="优秀教学团队">数据引用表!#REF!</definedName>
    <definedName name="优秀青年教师">数据引用表!#REF!</definedName>
    <definedName name="证书1十X">数据引用表!#REF!</definedName>
    <definedName name="周期建设项目">数据引用表!#REF!</definedName>
    <definedName name="专业带头人">数据引用表!#REF!</definedName>
    <definedName name="专业建设">其他参数!$H$2:$H$8</definedName>
    <definedName name="资源库建设">数据引用表!#REF!</definedName>
    <definedName name="学术论文或文章发表">其他参数!$A$2:$A$9</definedName>
    <definedName name="著作、教材及教学_实验_标准">其他参数!$B$2:$B$10</definedName>
    <definedName name="个人荣誉">其他参数!$K$2:$K$8</definedName>
    <definedName name="团体荣誉">其他参数!$L$2:$L$3</definedName>
    <definedName name="产教融合项目">其他参数!$N$2</definedName>
    <definedName name="文化建设项目">其他参数!$M$2</definedName>
    <definedName name="其他建设项目">其他参数!$O$2:$O$4</definedName>
    <definedName name="工作项目荣誉">其他参数!$P$2:$P$3</definedName>
    <definedName name="服务专业领域">数据引用表!$D$2:$D$5</definedName>
    <definedName name="服务行业企业">数据引用表!$E$2:$E$8</definedName>
    <definedName name="项目设计能力">数据引用表!$A$2:$A$3</definedName>
    <definedName name="产教融合能力">数据引用表!$B$2</definedName>
    <definedName name="品牌_示范_专业">其他参数!$H$3:$H$8</definedName>
    <definedName name="素质教育类社团指导">其他参数!$Q$2</definedName>
  </definedNames>
  <calcPr calcId="144525"/>
</workbook>
</file>

<file path=xl/comments1.xml><?xml version="1.0" encoding="utf-8"?>
<comments xmlns="http://schemas.openxmlformats.org/spreadsheetml/2006/main">
  <authors>
    <author>作者</author>
    <author>admin</author>
    <author>FtpDown</author>
    <author>Lenovo User</author>
    <author>Admin</author>
  </authors>
  <commentList>
    <comment ref="F25" authorId="0">
      <text>
        <r>
          <rPr>
            <b/>
            <sz val="9"/>
            <rFont val="宋体"/>
            <charset val="134"/>
          </rPr>
          <t>作者:</t>
        </r>
        <r>
          <rPr>
            <sz val="9"/>
            <rFont val="宋体"/>
            <charset val="134"/>
          </rPr>
          <t xml:space="preserve">
请在下拉列表中选择填写内容！</t>
        </r>
      </text>
    </comment>
    <comment ref="J25" authorId="1">
      <text>
        <r>
          <rPr>
            <b/>
            <sz val="9"/>
            <rFont val="宋体"/>
            <charset val="134"/>
          </rPr>
          <t>admin:</t>
        </r>
        <r>
          <rPr>
            <sz val="9"/>
            <rFont val="宋体"/>
            <charset val="134"/>
          </rPr>
          <t xml:space="preserve">
请规范填写时间！格式为“1999年10月1日”
</t>
        </r>
      </text>
    </comment>
    <comment ref="D26" authorId="1">
      <text>
        <r>
          <rPr>
            <b/>
            <sz val="9"/>
            <rFont val="宋体"/>
            <charset val="134"/>
          </rPr>
          <t>admin:</t>
        </r>
        <r>
          <rPr>
            <sz val="9"/>
            <rFont val="宋体"/>
            <charset val="134"/>
          </rPr>
          <t xml:space="preserve">
请在下拉列表中选择填写内容！
</t>
        </r>
      </text>
    </comment>
    <comment ref="D27" authorId="1">
      <text>
        <r>
          <rPr>
            <b/>
            <sz val="9"/>
            <rFont val="宋体"/>
            <charset val="134"/>
          </rPr>
          <t>admin:</t>
        </r>
        <r>
          <rPr>
            <sz val="9"/>
            <rFont val="宋体"/>
            <charset val="134"/>
          </rPr>
          <t xml:space="preserve">
请规范填写时间！格式为“1999年10月”</t>
        </r>
      </text>
    </comment>
    <comment ref="I28" authorId="1">
      <text>
        <r>
          <rPr>
            <b/>
            <sz val="9"/>
            <rFont val="宋体"/>
            <charset val="134"/>
          </rPr>
          <t>admin:</t>
        </r>
        <r>
          <rPr>
            <sz val="9"/>
            <rFont val="宋体"/>
            <charset val="134"/>
          </rPr>
          <t xml:space="preserve">
请规范填写时间！格式为“1999年10月”</t>
        </r>
      </text>
    </comment>
    <comment ref="C32" authorId="1">
      <text>
        <r>
          <rPr>
            <b/>
            <sz val="9"/>
            <rFont val="宋体"/>
            <charset val="134"/>
          </rPr>
          <t>admin:</t>
        </r>
        <r>
          <rPr>
            <sz val="9"/>
            <rFont val="宋体"/>
            <charset val="134"/>
          </rPr>
          <t xml:space="preserve">
填写班级全程，如：
2019级学前教育1班</t>
        </r>
      </text>
    </comment>
    <comment ref="H32" authorId="1">
      <text>
        <r>
          <rPr>
            <b/>
            <sz val="9"/>
            <rFont val="宋体"/>
            <charset val="134"/>
          </rPr>
          <t>admin:</t>
        </r>
        <r>
          <rPr>
            <sz val="9"/>
            <rFont val="宋体"/>
            <charset val="134"/>
          </rPr>
          <t xml:space="preserve">
填写格式例：
2012年09-2014年8月。</t>
        </r>
      </text>
    </comment>
    <comment ref="H33" authorId="1">
      <text>
        <r>
          <rPr>
            <b/>
            <sz val="9"/>
            <rFont val="宋体"/>
            <charset val="134"/>
          </rPr>
          <t>admin:</t>
        </r>
        <r>
          <rPr>
            <sz val="9"/>
            <rFont val="宋体"/>
            <charset val="134"/>
          </rPr>
          <t xml:space="preserve">
填写格式例：
2012年09-2014年8月。</t>
        </r>
      </text>
    </comment>
    <comment ref="C35" authorId="1">
      <text>
        <r>
          <rPr>
            <b/>
            <sz val="9"/>
            <rFont val="宋体"/>
            <charset val="134"/>
          </rPr>
          <t>admin:</t>
        </r>
        <r>
          <rPr>
            <sz val="9"/>
            <rFont val="宋体"/>
            <charset val="134"/>
          </rPr>
          <t xml:space="preserve">
请在下拉列表中选择填写内容！</t>
        </r>
      </text>
    </comment>
    <comment ref="C53" authorId="1">
      <text>
        <r>
          <rPr>
            <b/>
            <sz val="9"/>
            <rFont val="宋体"/>
            <charset val="134"/>
          </rPr>
          <t>admin:</t>
        </r>
        <r>
          <rPr>
            <sz val="9"/>
            <rFont val="宋体"/>
            <charset val="134"/>
          </rPr>
          <t xml:space="preserve">
请在下拉列表中选择填写内容！
</t>
        </r>
      </text>
    </comment>
    <comment ref="E53" authorId="1">
      <text>
        <r>
          <rPr>
            <b/>
            <sz val="9"/>
            <rFont val="宋体"/>
            <charset val="134"/>
          </rPr>
          <t>admin:</t>
        </r>
        <r>
          <rPr>
            <sz val="9"/>
            <rFont val="宋体"/>
            <charset val="134"/>
          </rPr>
          <t xml:space="preserve">
填写格式例：
2012年09月1日-2014年9月6日。
</t>
        </r>
      </text>
    </comment>
    <comment ref="J53" authorId="1">
      <text>
        <r>
          <rPr>
            <b/>
            <sz val="9"/>
            <rFont val="宋体"/>
            <charset val="134"/>
          </rPr>
          <t>admin:</t>
        </r>
        <r>
          <rPr>
            <sz val="9"/>
            <rFont val="宋体"/>
            <charset val="134"/>
          </rPr>
          <t xml:space="preserve">
线上培训地点为“线上及学习平台”；线下培训写明培训城市或培训院校（单位)</t>
        </r>
      </text>
    </comment>
    <comment ref="C68" authorId="1">
      <text>
        <r>
          <rPr>
            <b/>
            <sz val="9"/>
            <rFont val="宋体"/>
            <charset val="134"/>
          </rPr>
          <t>admin:</t>
        </r>
        <r>
          <rPr>
            <sz val="9"/>
            <rFont val="宋体"/>
            <charset val="134"/>
          </rPr>
          <t xml:space="preserve">
填写格式例：
2012年09月
</t>
        </r>
      </text>
    </comment>
    <comment ref="B81" authorId="0">
      <text>
        <r>
          <rPr>
            <b/>
            <sz val="9"/>
            <rFont val="宋体"/>
            <charset val="134"/>
          </rPr>
          <t>作者:</t>
        </r>
        <r>
          <rPr>
            <sz val="9"/>
            <rFont val="宋体"/>
            <charset val="134"/>
          </rPr>
          <t xml:space="preserve">
请在下拉列表中选择填写内容！</t>
        </r>
      </text>
    </comment>
    <comment ref="F81" authorId="2">
      <text>
        <r>
          <rPr>
            <b/>
            <sz val="9"/>
            <rFont val="宋体"/>
            <charset val="134"/>
          </rPr>
          <t xml:space="preserve">作者:
</t>
        </r>
        <r>
          <rPr>
            <sz val="9"/>
            <rFont val="宋体"/>
            <charset val="134"/>
          </rPr>
          <t>请不要加书名号！</t>
        </r>
      </text>
    </comment>
    <comment ref="H81" authorId="0">
      <text>
        <r>
          <rPr>
            <b/>
            <sz val="9"/>
            <rFont val="宋体"/>
            <charset val="134"/>
          </rPr>
          <t>作者:</t>
        </r>
        <r>
          <rPr>
            <sz val="9"/>
            <rFont val="宋体"/>
            <charset val="134"/>
          </rPr>
          <t xml:space="preserve">
因</t>
        </r>
        <r>
          <rPr>
            <b/>
            <sz val="9"/>
            <color indexed="10"/>
            <rFont val="宋体"/>
            <charset val="134"/>
          </rPr>
          <t>学历学位进修</t>
        </r>
        <r>
          <rPr>
            <sz val="9"/>
            <rFont val="宋体"/>
            <charset val="134"/>
          </rPr>
          <t>原因未署大连职业技术学院或大连开放大学发表的论文选择“否”，在期刊上发表</t>
        </r>
        <r>
          <rPr>
            <b/>
            <sz val="9"/>
            <color indexed="10"/>
            <rFont val="宋体"/>
            <charset val="134"/>
          </rPr>
          <t>图片作品</t>
        </r>
        <r>
          <rPr>
            <sz val="9"/>
            <rFont val="宋体"/>
            <charset val="134"/>
          </rPr>
          <t xml:space="preserve">的也选择“否”，其他情况选择“是”。
</t>
        </r>
        <r>
          <rPr>
            <b/>
            <sz val="9"/>
            <rFont val="宋体"/>
            <charset val="134"/>
          </rPr>
          <t xml:space="preserve">此项为必选项，否则无法计分
</t>
        </r>
      </text>
    </comment>
    <comment ref="I81" authorId="3">
      <text>
        <r>
          <rPr>
            <b/>
            <sz val="9"/>
            <rFont val="宋体"/>
            <charset val="134"/>
          </rPr>
          <t xml:space="preserve">作者:
</t>
        </r>
        <r>
          <rPr>
            <sz val="9"/>
            <rFont val="宋体"/>
            <charset val="134"/>
          </rPr>
          <t>请在下拉列表中选择填写内容！</t>
        </r>
      </text>
    </comment>
    <comment ref="J81" authorId="2">
      <text>
        <r>
          <rPr>
            <b/>
            <sz val="9"/>
            <rFont val="宋体"/>
            <charset val="134"/>
          </rPr>
          <t>作者:
直接填写数字！</t>
        </r>
        <r>
          <rPr>
            <sz val="9"/>
            <rFont val="宋体"/>
            <charset val="134"/>
          </rPr>
          <t>属“独立完成”不填写本栏目。</t>
        </r>
      </text>
    </comment>
    <comment ref="K81" authorId="0">
      <text>
        <r>
          <rPr>
            <b/>
            <sz val="9"/>
            <rFont val="宋体"/>
            <charset val="134"/>
          </rPr>
          <t>作者:
直接填写数字！</t>
        </r>
        <r>
          <rPr>
            <sz val="9"/>
            <rFont val="宋体"/>
            <charset val="134"/>
          </rPr>
          <t>属“独立完成”不填写本栏目。</t>
        </r>
      </text>
    </comment>
    <comment ref="B82" authorId="0">
      <text>
        <r>
          <rPr>
            <b/>
            <sz val="9"/>
            <rFont val="宋体"/>
            <charset val="134"/>
          </rPr>
          <t>作者:</t>
        </r>
        <r>
          <rPr>
            <sz val="9"/>
            <rFont val="宋体"/>
            <charset val="134"/>
          </rPr>
          <t xml:space="preserve">
请在下拉列表中选择填写内容！</t>
        </r>
      </text>
    </comment>
    <comment ref="F82" authorId="2">
      <text>
        <r>
          <rPr>
            <b/>
            <sz val="9"/>
            <rFont val="宋体"/>
            <charset val="134"/>
          </rPr>
          <t xml:space="preserve">作者:
</t>
        </r>
        <r>
          <rPr>
            <sz val="9"/>
            <rFont val="宋体"/>
            <charset val="134"/>
          </rPr>
          <t>请不要加书名号！</t>
        </r>
      </text>
    </comment>
    <comment ref="H82" authorId="0">
      <text>
        <r>
          <rPr>
            <b/>
            <sz val="9"/>
            <rFont val="宋体"/>
            <charset val="134"/>
          </rPr>
          <t>作者:</t>
        </r>
        <r>
          <rPr>
            <sz val="9"/>
            <rFont val="宋体"/>
            <charset val="134"/>
          </rPr>
          <t xml:space="preserve">
因</t>
        </r>
        <r>
          <rPr>
            <b/>
            <sz val="9"/>
            <color indexed="10"/>
            <rFont val="宋体"/>
            <charset val="134"/>
          </rPr>
          <t>学历学位进修</t>
        </r>
        <r>
          <rPr>
            <sz val="9"/>
            <rFont val="宋体"/>
            <charset val="134"/>
          </rPr>
          <t>原因未署大连职业技术学院或大连开放大学发表的论文选择“否”，在期刊上发表</t>
        </r>
        <r>
          <rPr>
            <b/>
            <sz val="9"/>
            <color indexed="10"/>
            <rFont val="宋体"/>
            <charset val="134"/>
          </rPr>
          <t>图片作品</t>
        </r>
        <r>
          <rPr>
            <sz val="9"/>
            <rFont val="宋体"/>
            <charset val="134"/>
          </rPr>
          <t xml:space="preserve">的也选择“否”，其他情况选择“是”。
</t>
        </r>
        <r>
          <rPr>
            <b/>
            <sz val="9"/>
            <rFont val="宋体"/>
            <charset val="134"/>
          </rPr>
          <t xml:space="preserve">此项为必选项，否则无法计分
</t>
        </r>
      </text>
    </comment>
    <comment ref="I82" authorId="3">
      <text>
        <r>
          <rPr>
            <b/>
            <sz val="9"/>
            <rFont val="宋体"/>
            <charset val="134"/>
          </rPr>
          <t xml:space="preserve">作者:
</t>
        </r>
        <r>
          <rPr>
            <sz val="9"/>
            <rFont val="宋体"/>
            <charset val="134"/>
          </rPr>
          <t>请在下拉列表中选择填写内容！</t>
        </r>
      </text>
    </comment>
    <comment ref="J82" authorId="2">
      <text>
        <r>
          <rPr>
            <b/>
            <sz val="9"/>
            <rFont val="宋体"/>
            <charset val="134"/>
          </rPr>
          <t>作者:
直接填写数字！</t>
        </r>
        <r>
          <rPr>
            <sz val="9"/>
            <rFont val="宋体"/>
            <charset val="134"/>
          </rPr>
          <t>属“独立完成”不填写本栏目。</t>
        </r>
      </text>
    </comment>
    <comment ref="K82" authorId="0">
      <text>
        <r>
          <rPr>
            <b/>
            <sz val="9"/>
            <rFont val="宋体"/>
            <charset val="134"/>
          </rPr>
          <t>作者:
直接填写数字！</t>
        </r>
        <r>
          <rPr>
            <sz val="9"/>
            <rFont val="宋体"/>
            <charset val="134"/>
          </rPr>
          <t>属“独立完成”不填写本栏目。</t>
        </r>
      </text>
    </comment>
    <comment ref="B84" authorId="0">
      <text>
        <r>
          <rPr>
            <b/>
            <sz val="9"/>
            <rFont val="宋体"/>
            <charset val="134"/>
          </rPr>
          <t>作者:</t>
        </r>
        <r>
          <rPr>
            <sz val="9"/>
            <rFont val="宋体"/>
            <charset val="134"/>
          </rPr>
          <t xml:space="preserve">
请在下拉列表中选择填写内容！</t>
        </r>
      </text>
    </comment>
    <comment ref="F84" authorId="2">
      <text>
        <r>
          <rPr>
            <b/>
            <sz val="9"/>
            <rFont val="宋体"/>
            <charset val="134"/>
          </rPr>
          <t xml:space="preserve">作者:
</t>
        </r>
        <r>
          <rPr>
            <sz val="9"/>
            <rFont val="宋体"/>
            <charset val="134"/>
          </rPr>
          <t>请不要加书名号！</t>
        </r>
      </text>
    </comment>
    <comment ref="H84" authorId="0">
      <text>
        <r>
          <rPr>
            <b/>
            <sz val="9"/>
            <rFont val="宋体"/>
            <charset val="134"/>
          </rPr>
          <t>作者:</t>
        </r>
        <r>
          <rPr>
            <sz val="9"/>
            <rFont val="宋体"/>
            <charset val="134"/>
          </rPr>
          <t xml:space="preserve">
因</t>
        </r>
        <r>
          <rPr>
            <b/>
            <sz val="9"/>
            <color indexed="10"/>
            <rFont val="宋体"/>
            <charset val="134"/>
          </rPr>
          <t>学历学位进修</t>
        </r>
        <r>
          <rPr>
            <sz val="9"/>
            <rFont val="宋体"/>
            <charset val="134"/>
          </rPr>
          <t>原因未署大连职业技术学院或大连开放大学发表的论文选择“否”，在期刊上发表</t>
        </r>
        <r>
          <rPr>
            <b/>
            <sz val="9"/>
            <color indexed="10"/>
            <rFont val="宋体"/>
            <charset val="134"/>
          </rPr>
          <t>图片作品</t>
        </r>
        <r>
          <rPr>
            <sz val="9"/>
            <rFont val="宋体"/>
            <charset val="134"/>
          </rPr>
          <t xml:space="preserve">的也选择“否”，其他情况选择“是”。
</t>
        </r>
        <r>
          <rPr>
            <b/>
            <sz val="9"/>
            <rFont val="宋体"/>
            <charset val="134"/>
          </rPr>
          <t xml:space="preserve">此项为必选项，否则无法计分
</t>
        </r>
      </text>
    </comment>
    <comment ref="I84" authorId="3">
      <text>
        <r>
          <rPr>
            <b/>
            <sz val="9"/>
            <rFont val="宋体"/>
            <charset val="134"/>
          </rPr>
          <t xml:space="preserve">作者:
</t>
        </r>
        <r>
          <rPr>
            <sz val="9"/>
            <rFont val="宋体"/>
            <charset val="134"/>
          </rPr>
          <t>请在下拉列表中选择填写内容！</t>
        </r>
      </text>
    </comment>
    <comment ref="J84" authorId="2">
      <text>
        <r>
          <rPr>
            <b/>
            <sz val="9"/>
            <rFont val="宋体"/>
            <charset val="134"/>
          </rPr>
          <t>作者:
直接填写数字！</t>
        </r>
        <r>
          <rPr>
            <sz val="9"/>
            <rFont val="宋体"/>
            <charset val="134"/>
          </rPr>
          <t>属“独立完成”不填写本栏目。</t>
        </r>
      </text>
    </comment>
    <comment ref="K84" authorId="0">
      <text>
        <r>
          <rPr>
            <b/>
            <sz val="9"/>
            <rFont val="宋体"/>
            <charset val="134"/>
          </rPr>
          <t>作者:
直接填写数字！</t>
        </r>
        <r>
          <rPr>
            <sz val="9"/>
            <rFont val="宋体"/>
            <charset val="134"/>
          </rPr>
          <t>属“独立完成”不填写本栏目。</t>
        </r>
      </text>
    </comment>
    <comment ref="B88" authorId="0">
      <text>
        <r>
          <rPr>
            <b/>
            <sz val="9"/>
            <rFont val="宋体"/>
            <charset val="134"/>
          </rPr>
          <t>作者:</t>
        </r>
        <r>
          <rPr>
            <sz val="9"/>
            <rFont val="宋体"/>
            <charset val="134"/>
          </rPr>
          <t xml:space="preserve">
请在下拉列表中选择填写内容！</t>
        </r>
      </text>
    </comment>
    <comment ref="I88" authorId="0">
      <text>
        <r>
          <rPr>
            <b/>
            <sz val="9"/>
            <rFont val="宋体"/>
            <charset val="134"/>
          </rPr>
          <t>作者:</t>
        </r>
        <r>
          <rPr>
            <sz val="9"/>
            <rFont val="宋体"/>
            <charset val="134"/>
          </rPr>
          <t xml:space="preserve">
请规范填写时间！格式为</t>
        </r>
        <r>
          <rPr>
            <sz val="9"/>
            <rFont val="Tahoma"/>
            <charset val="134"/>
          </rPr>
          <t>“1999</t>
        </r>
        <r>
          <rPr>
            <sz val="9"/>
            <rFont val="宋体"/>
            <charset val="134"/>
          </rPr>
          <t>年</t>
        </r>
        <r>
          <rPr>
            <sz val="9"/>
            <rFont val="Tahoma"/>
            <charset val="134"/>
          </rPr>
          <t>10</t>
        </r>
        <r>
          <rPr>
            <sz val="9"/>
            <rFont val="宋体"/>
            <charset val="134"/>
          </rPr>
          <t>月</t>
        </r>
        <r>
          <rPr>
            <sz val="9"/>
            <rFont val="Tahoma"/>
            <charset val="134"/>
          </rPr>
          <t>”</t>
        </r>
      </text>
    </comment>
    <comment ref="J88" authorId="0">
      <text>
        <r>
          <rPr>
            <b/>
            <sz val="9"/>
            <rFont val="宋体"/>
            <charset val="134"/>
          </rPr>
          <t>作者:
只填写数字！请注意单位！</t>
        </r>
      </text>
    </comment>
    <comment ref="K88" authorId="0">
      <text>
        <r>
          <rPr>
            <b/>
            <sz val="9"/>
            <rFont val="宋体"/>
            <charset val="134"/>
          </rPr>
          <t xml:space="preserve">作者:
</t>
        </r>
        <r>
          <rPr>
            <sz val="9"/>
            <rFont val="宋体"/>
            <charset val="134"/>
          </rPr>
          <t>请在下拉列表中选择填写内容！</t>
        </r>
      </text>
    </comment>
    <comment ref="B89" authorId="0">
      <text>
        <r>
          <rPr>
            <b/>
            <sz val="9"/>
            <rFont val="宋体"/>
            <charset val="134"/>
          </rPr>
          <t>作者:</t>
        </r>
        <r>
          <rPr>
            <sz val="9"/>
            <rFont val="宋体"/>
            <charset val="134"/>
          </rPr>
          <t xml:space="preserve">
请在下拉列表中选择填写内容！</t>
        </r>
      </text>
    </comment>
    <comment ref="I89" authorId="0">
      <text>
        <r>
          <rPr>
            <b/>
            <sz val="9"/>
            <rFont val="宋体"/>
            <charset val="134"/>
          </rPr>
          <t>作者:</t>
        </r>
        <r>
          <rPr>
            <sz val="9"/>
            <rFont val="宋体"/>
            <charset val="134"/>
          </rPr>
          <t xml:space="preserve">
请规范填写时间！格式为</t>
        </r>
        <r>
          <rPr>
            <sz val="9"/>
            <rFont val="Tahoma"/>
            <charset val="134"/>
          </rPr>
          <t>“1999</t>
        </r>
        <r>
          <rPr>
            <sz val="9"/>
            <rFont val="宋体"/>
            <charset val="134"/>
          </rPr>
          <t>年</t>
        </r>
        <r>
          <rPr>
            <sz val="9"/>
            <rFont val="Tahoma"/>
            <charset val="134"/>
          </rPr>
          <t>10</t>
        </r>
        <r>
          <rPr>
            <sz val="9"/>
            <rFont val="宋体"/>
            <charset val="134"/>
          </rPr>
          <t>月</t>
        </r>
        <r>
          <rPr>
            <sz val="9"/>
            <rFont val="Tahoma"/>
            <charset val="134"/>
          </rPr>
          <t>”</t>
        </r>
      </text>
    </comment>
    <comment ref="J89" authorId="0">
      <text>
        <r>
          <rPr>
            <b/>
            <sz val="9"/>
            <rFont val="宋体"/>
            <charset val="134"/>
          </rPr>
          <t>作者:
只填写数字！请注意单位！</t>
        </r>
      </text>
    </comment>
    <comment ref="K89" authorId="0">
      <text>
        <r>
          <rPr>
            <b/>
            <sz val="9"/>
            <rFont val="宋体"/>
            <charset val="134"/>
          </rPr>
          <t xml:space="preserve">作者:
</t>
        </r>
        <r>
          <rPr>
            <sz val="9"/>
            <rFont val="宋体"/>
            <charset val="134"/>
          </rPr>
          <t>请在下拉列表中选择填写内容！</t>
        </r>
      </text>
    </comment>
    <comment ref="B93" authorId="0">
      <text>
        <r>
          <rPr>
            <b/>
            <sz val="9"/>
            <rFont val="宋体"/>
            <charset val="134"/>
          </rPr>
          <t>作者:</t>
        </r>
        <r>
          <rPr>
            <sz val="9"/>
            <rFont val="宋体"/>
            <charset val="134"/>
          </rPr>
          <t xml:space="preserve">
请在下拉列表中选择填写内容！</t>
        </r>
      </text>
    </comment>
    <comment ref="G93" authorId="0">
      <text>
        <r>
          <rPr>
            <b/>
            <sz val="9"/>
            <rFont val="宋体"/>
            <charset val="134"/>
          </rPr>
          <t>作者:</t>
        </r>
        <r>
          <rPr>
            <sz val="9"/>
            <rFont val="宋体"/>
            <charset val="134"/>
          </rPr>
          <t xml:space="preserve">
如：“辽宁省人民政府”,“辽宁省教育厅”,“教育部”等。</t>
        </r>
      </text>
    </comment>
    <comment ref="H93" authorId="3">
      <text>
        <r>
          <rPr>
            <b/>
            <sz val="9"/>
            <rFont val="宋体"/>
            <charset val="134"/>
          </rPr>
          <t xml:space="preserve">作者:
</t>
        </r>
        <r>
          <rPr>
            <sz val="9"/>
            <rFont val="宋体"/>
            <charset val="134"/>
          </rPr>
          <t>请在下拉列表中选择填写内容！</t>
        </r>
      </text>
    </comment>
    <comment ref="I93" authorId="2">
      <text>
        <r>
          <rPr>
            <b/>
            <sz val="9"/>
            <rFont val="宋体"/>
            <charset val="134"/>
          </rPr>
          <t>作者:
直接填写数字！</t>
        </r>
        <r>
          <rPr>
            <sz val="9"/>
            <rFont val="宋体"/>
            <charset val="134"/>
          </rPr>
          <t>属“独立完成”不填写本栏目。</t>
        </r>
      </text>
    </comment>
    <comment ref="J93" authorId="0">
      <text>
        <r>
          <rPr>
            <b/>
            <sz val="9"/>
            <rFont val="宋体"/>
            <charset val="134"/>
          </rPr>
          <t>作者:
直接填写数字！</t>
        </r>
        <r>
          <rPr>
            <sz val="9"/>
            <rFont val="宋体"/>
            <charset val="134"/>
          </rPr>
          <t>属“独立完成”不填写本栏目。</t>
        </r>
      </text>
    </comment>
    <comment ref="K93" authorId="0">
      <text>
        <r>
          <rPr>
            <b/>
            <sz val="9"/>
            <rFont val="宋体"/>
            <charset val="134"/>
          </rPr>
          <t>作者:
只填写数字！请注意单位！</t>
        </r>
      </text>
    </comment>
    <comment ref="B94" authorId="0">
      <text>
        <r>
          <rPr>
            <b/>
            <sz val="9"/>
            <rFont val="宋体"/>
            <charset val="134"/>
          </rPr>
          <t>作者:</t>
        </r>
        <r>
          <rPr>
            <sz val="9"/>
            <rFont val="宋体"/>
            <charset val="134"/>
          </rPr>
          <t xml:space="preserve">
请在下拉列表中选择填写内容！</t>
        </r>
      </text>
    </comment>
    <comment ref="G94" authorId="0">
      <text>
        <r>
          <rPr>
            <b/>
            <sz val="9"/>
            <rFont val="宋体"/>
            <charset val="134"/>
          </rPr>
          <t>作者:</t>
        </r>
        <r>
          <rPr>
            <sz val="9"/>
            <rFont val="宋体"/>
            <charset val="134"/>
          </rPr>
          <t xml:space="preserve">
如：“辽宁省人民政府”,“辽宁省教育厅”,“教育部”等。</t>
        </r>
      </text>
    </comment>
    <comment ref="H94" authorId="3">
      <text>
        <r>
          <rPr>
            <b/>
            <sz val="9"/>
            <rFont val="宋体"/>
            <charset val="134"/>
          </rPr>
          <t xml:space="preserve">作者:
</t>
        </r>
        <r>
          <rPr>
            <sz val="9"/>
            <rFont val="宋体"/>
            <charset val="134"/>
          </rPr>
          <t>请在下拉列表中选择填写内容！</t>
        </r>
      </text>
    </comment>
    <comment ref="I94" authorId="2">
      <text>
        <r>
          <rPr>
            <b/>
            <sz val="9"/>
            <rFont val="宋体"/>
            <charset val="134"/>
          </rPr>
          <t>作者:
直接填写数字！</t>
        </r>
        <r>
          <rPr>
            <sz val="9"/>
            <rFont val="宋体"/>
            <charset val="134"/>
          </rPr>
          <t>属“独立完成”不填写本栏目。</t>
        </r>
      </text>
    </comment>
    <comment ref="J94" authorId="0">
      <text>
        <r>
          <rPr>
            <b/>
            <sz val="9"/>
            <rFont val="宋体"/>
            <charset val="134"/>
          </rPr>
          <t>作者:
直接填写数字！</t>
        </r>
        <r>
          <rPr>
            <sz val="9"/>
            <rFont val="宋体"/>
            <charset val="134"/>
          </rPr>
          <t>属“独立完成”不填写本栏目。</t>
        </r>
      </text>
    </comment>
    <comment ref="K94" authorId="0">
      <text>
        <r>
          <rPr>
            <b/>
            <sz val="9"/>
            <rFont val="宋体"/>
            <charset val="134"/>
          </rPr>
          <t>作者:
只填写数字！请注意单位！</t>
        </r>
      </text>
    </comment>
    <comment ref="B96" authorId="0">
      <text>
        <r>
          <rPr>
            <b/>
            <sz val="9"/>
            <rFont val="宋体"/>
            <charset val="134"/>
          </rPr>
          <t>作者:</t>
        </r>
        <r>
          <rPr>
            <sz val="9"/>
            <rFont val="宋体"/>
            <charset val="134"/>
          </rPr>
          <t xml:space="preserve">
请在下拉列表中选择填写内容！</t>
        </r>
      </text>
    </comment>
    <comment ref="G96" authorId="0">
      <text>
        <r>
          <rPr>
            <b/>
            <sz val="9"/>
            <rFont val="宋体"/>
            <charset val="134"/>
          </rPr>
          <t>作者:</t>
        </r>
        <r>
          <rPr>
            <sz val="9"/>
            <rFont val="宋体"/>
            <charset val="134"/>
          </rPr>
          <t xml:space="preserve">
如：“辽宁省人民政府”,“辽宁省教育厅”,“教育部”等。</t>
        </r>
      </text>
    </comment>
    <comment ref="H96" authorId="3">
      <text>
        <r>
          <rPr>
            <b/>
            <sz val="9"/>
            <rFont val="宋体"/>
            <charset val="134"/>
          </rPr>
          <t xml:space="preserve">作者:
</t>
        </r>
        <r>
          <rPr>
            <sz val="9"/>
            <rFont val="宋体"/>
            <charset val="134"/>
          </rPr>
          <t>请在下拉列表中选择填写内容！</t>
        </r>
      </text>
    </comment>
    <comment ref="I96" authorId="2">
      <text>
        <r>
          <rPr>
            <b/>
            <sz val="9"/>
            <rFont val="宋体"/>
            <charset val="134"/>
          </rPr>
          <t>作者:
直接填写数字！</t>
        </r>
        <r>
          <rPr>
            <sz val="9"/>
            <rFont val="宋体"/>
            <charset val="134"/>
          </rPr>
          <t>属“独立完成”不填写本栏目。</t>
        </r>
      </text>
    </comment>
    <comment ref="J96" authorId="0">
      <text>
        <r>
          <rPr>
            <b/>
            <sz val="9"/>
            <rFont val="宋体"/>
            <charset val="134"/>
          </rPr>
          <t>作者:
直接填写数字！</t>
        </r>
        <r>
          <rPr>
            <sz val="9"/>
            <rFont val="宋体"/>
            <charset val="134"/>
          </rPr>
          <t>属“独立完成”不填写本栏目。</t>
        </r>
      </text>
    </comment>
    <comment ref="K96" authorId="0">
      <text>
        <r>
          <rPr>
            <b/>
            <sz val="9"/>
            <rFont val="宋体"/>
            <charset val="134"/>
          </rPr>
          <t>作者:
只填写数字！请注意单位！</t>
        </r>
      </text>
    </comment>
    <comment ref="B97" authorId="0">
      <text>
        <r>
          <rPr>
            <b/>
            <sz val="9"/>
            <rFont val="宋体"/>
            <charset val="134"/>
          </rPr>
          <t>作者:</t>
        </r>
        <r>
          <rPr>
            <sz val="9"/>
            <rFont val="宋体"/>
            <charset val="134"/>
          </rPr>
          <t xml:space="preserve">
请在下拉列表中选择填写内容！</t>
        </r>
      </text>
    </comment>
    <comment ref="G97" authorId="0">
      <text>
        <r>
          <rPr>
            <b/>
            <sz val="9"/>
            <rFont val="宋体"/>
            <charset val="134"/>
          </rPr>
          <t>作者:</t>
        </r>
        <r>
          <rPr>
            <sz val="9"/>
            <rFont val="宋体"/>
            <charset val="134"/>
          </rPr>
          <t xml:space="preserve">
如：“辽宁省人民政府”,“辽宁省教育厅”,“教育部”等。</t>
        </r>
      </text>
    </comment>
    <comment ref="H97" authorId="3">
      <text>
        <r>
          <rPr>
            <b/>
            <sz val="9"/>
            <rFont val="宋体"/>
            <charset val="134"/>
          </rPr>
          <t xml:space="preserve">作者:
</t>
        </r>
        <r>
          <rPr>
            <sz val="9"/>
            <rFont val="宋体"/>
            <charset val="134"/>
          </rPr>
          <t>请在下拉列表中选择填写内容！</t>
        </r>
      </text>
    </comment>
    <comment ref="I97" authorId="2">
      <text>
        <r>
          <rPr>
            <b/>
            <sz val="9"/>
            <rFont val="宋体"/>
            <charset val="134"/>
          </rPr>
          <t>作者:
直接填写数字！</t>
        </r>
        <r>
          <rPr>
            <sz val="9"/>
            <rFont val="宋体"/>
            <charset val="134"/>
          </rPr>
          <t>属“独立完成”不填写本栏目。</t>
        </r>
      </text>
    </comment>
    <comment ref="J97" authorId="0">
      <text>
        <r>
          <rPr>
            <b/>
            <sz val="9"/>
            <rFont val="宋体"/>
            <charset val="134"/>
          </rPr>
          <t>作者:
直接填写数字！</t>
        </r>
        <r>
          <rPr>
            <sz val="9"/>
            <rFont val="宋体"/>
            <charset val="134"/>
          </rPr>
          <t>属“独立完成”不填写本栏目。</t>
        </r>
      </text>
    </comment>
    <comment ref="K97" authorId="0">
      <text>
        <r>
          <rPr>
            <b/>
            <sz val="9"/>
            <rFont val="宋体"/>
            <charset val="134"/>
          </rPr>
          <t>作者:
只填写数字！请注意单位！</t>
        </r>
      </text>
    </comment>
    <comment ref="B101" authorId="0">
      <text>
        <r>
          <rPr>
            <b/>
            <sz val="9"/>
            <rFont val="宋体"/>
            <charset val="134"/>
          </rPr>
          <t>作者:</t>
        </r>
        <r>
          <rPr>
            <sz val="9"/>
            <rFont val="宋体"/>
            <charset val="134"/>
          </rPr>
          <t xml:space="preserve">
请在下拉列表中选择填写内容！</t>
        </r>
      </text>
    </comment>
    <comment ref="C101" authorId="0">
      <text>
        <r>
          <rPr>
            <b/>
            <sz val="9"/>
            <rFont val="宋体"/>
            <charset val="134"/>
          </rPr>
          <t>作者:</t>
        </r>
        <r>
          <rPr>
            <sz val="9"/>
            <rFont val="宋体"/>
            <charset val="134"/>
          </rPr>
          <t xml:space="preserve">
请在下拉列表中选择填写内容！</t>
        </r>
      </text>
    </comment>
    <comment ref="G101" authorId="1">
      <text>
        <r>
          <rPr>
            <b/>
            <sz val="9"/>
            <rFont val="宋体"/>
            <charset val="134"/>
          </rPr>
          <t>admin:</t>
        </r>
        <r>
          <rPr>
            <sz val="9"/>
            <rFont val="宋体"/>
            <charset val="134"/>
          </rPr>
          <t xml:space="preserve">
作者:
如：“辽宁省人民政府”,“辽宁省教育厅”,“教育部”等。
</t>
        </r>
      </text>
    </comment>
    <comment ref="I101" authorId="3">
      <text>
        <r>
          <rPr>
            <b/>
            <sz val="9"/>
            <rFont val="宋体"/>
            <charset val="134"/>
          </rPr>
          <t xml:space="preserve">作者:
</t>
        </r>
        <r>
          <rPr>
            <sz val="9"/>
            <rFont val="宋体"/>
            <charset val="134"/>
          </rPr>
          <t>请在下拉列表中选择填写内容！</t>
        </r>
      </text>
    </comment>
    <comment ref="J101" authorId="2">
      <text>
        <r>
          <rPr>
            <b/>
            <sz val="9"/>
            <rFont val="宋体"/>
            <charset val="134"/>
          </rPr>
          <t>作者:
直接填写数字！</t>
        </r>
        <r>
          <rPr>
            <sz val="9"/>
            <rFont val="宋体"/>
            <charset val="134"/>
          </rPr>
          <t>属“独立完成”不填写本栏目。</t>
        </r>
      </text>
    </comment>
    <comment ref="K101" authorId="0">
      <text>
        <r>
          <rPr>
            <b/>
            <sz val="9"/>
            <rFont val="宋体"/>
            <charset val="134"/>
          </rPr>
          <t>作者:
直接填写数字！</t>
        </r>
        <r>
          <rPr>
            <sz val="9"/>
            <rFont val="宋体"/>
            <charset val="134"/>
          </rPr>
          <t>属“独立完成”不填写本栏目。</t>
        </r>
      </text>
    </comment>
    <comment ref="B102" authorId="0">
      <text>
        <r>
          <rPr>
            <b/>
            <sz val="9"/>
            <rFont val="宋体"/>
            <charset val="134"/>
          </rPr>
          <t>作者:</t>
        </r>
        <r>
          <rPr>
            <sz val="9"/>
            <rFont val="宋体"/>
            <charset val="134"/>
          </rPr>
          <t xml:space="preserve">
请在下拉列表中选择填写内容！</t>
        </r>
      </text>
    </comment>
    <comment ref="C102" authorId="0">
      <text>
        <r>
          <rPr>
            <b/>
            <sz val="9"/>
            <rFont val="宋体"/>
            <charset val="134"/>
          </rPr>
          <t>作者:</t>
        </r>
        <r>
          <rPr>
            <sz val="9"/>
            <rFont val="宋体"/>
            <charset val="134"/>
          </rPr>
          <t xml:space="preserve">
请在下拉列表中选择填写内容！</t>
        </r>
      </text>
    </comment>
    <comment ref="G102" authorId="1">
      <text>
        <r>
          <rPr>
            <b/>
            <sz val="9"/>
            <rFont val="宋体"/>
            <charset val="134"/>
          </rPr>
          <t>admin:</t>
        </r>
        <r>
          <rPr>
            <sz val="9"/>
            <rFont val="宋体"/>
            <charset val="134"/>
          </rPr>
          <t xml:space="preserve">
作者:
如：“辽宁省人民政府”,“辽宁省教育厅”,“教育部”等。</t>
        </r>
      </text>
    </comment>
    <comment ref="I102" authorId="3">
      <text>
        <r>
          <rPr>
            <b/>
            <sz val="9"/>
            <rFont val="宋体"/>
            <charset val="134"/>
          </rPr>
          <t xml:space="preserve">作者:
</t>
        </r>
        <r>
          <rPr>
            <sz val="9"/>
            <rFont val="宋体"/>
            <charset val="134"/>
          </rPr>
          <t>请在下拉列表中选择填写内容！</t>
        </r>
      </text>
    </comment>
    <comment ref="J102" authorId="2">
      <text>
        <r>
          <rPr>
            <b/>
            <sz val="9"/>
            <rFont val="宋体"/>
            <charset val="134"/>
          </rPr>
          <t>作者:
直接填写数字！</t>
        </r>
        <r>
          <rPr>
            <sz val="9"/>
            <rFont val="宋体"/>
            <charset val="134"/>
          </rPr>
          <t>属“独立完成”不填写本栏目。</t>
        </r>
      </text>
    </comment>
    <comment ref="K102" authorId="0">
      <text>
        <r>
          <rPr>
            <b/>
            <sz val="9"/>
            <rFont val="宋体"/>
            <charset val="134"/>
          </rPr>
          <t>作者:
直接填写数字！</t>
        </r>
        <r>
          <rPr>
            <sz val="9"/>
            <rFont val="宋体"/>
            <charset val="134"/>
          </rPr>
          <t>属“独立完成”不填写本栏目。</t>
        </r>
      </text>
    </comment>
    <comment ref="B106" authorId="0">
      <text>
        <r>
          <rPr>
            <b/>
            <sz val="9"/>
            <rFont val="宋体"/>
            <charset val="134"/>
          </rPr>
          <t>作者:</t>
        </r>
        <r>
          <rPr>
            <sz val="9"/>
            <rFont val="宋体"/>
            <charset val="134"/>
          </rPr>
          <t xml:space="preserve">
请在下拉列表中选择填写内容！</t>
        </r>
      </text>
    </comment>
    <comment ref="H106" authorId="3">
      <text>
        <r>
          <rPr>
            <b/>
            <sz val="9"/>
            <rFont val="宋体"/>
            <charset val="134"/>
          </rPr>
          <t xml:space="preserve">作者:
</t>
        </r>
        <r>
          <rPr>
            <sz val="9"/>
            <rFont val="宋体"/>
            <charset val="134"/>
          </rPr>
          <t>请在下拉列表中选择填写内容！</t>
        </r>
      </text>
    </comment>
    <comment ref="I106" authorId="2">
      <text>
        <r>
          <rPr>
            <b/>
            <sz val="9"/>
            <rFont val="宋体"/>
            <charset val="134"/>
          </rPr>
          <t>作者:
直接填写数字！</t>
        </r>
        <r>
          <rPr>
            <sz val="9"/>
            <rFont val="宋体"/>
            <charset val="134"/>
          </rPr>
          <t>属“独立完成”不填写本栏目。</t>
        </r>
      </text>
    </comment>
    <comment ref="J106" authorId="0">
      <text>
        <r>
          <rPr>
            <b/>
            <sz val="9"/>
            <rFont val="宋体"/>
            <charset val="134"/>
          </rPr>
          <t>作者:
直接填写数字！</t>
        </r>
        <r>
          <rPr>
            <sz val="9"/>
            <rFont val="宋体"/>
            <charset val="134"/>
          </rPr>
          <t>属“独立完成”不填写本栏目。</t>
        </r>
      </text>
    </comment>
    <comment ref="K106" authorId="0">
      <text>
        <r>
          <rPr>
            <b/>
            <sz val="9"/>
            <rFont val="宋体"/>
            <charset val="134"/>
          </rPr>
          <t>作者:
只填写数字！请注意单位！</t>
        </r>
      </text>
    </comment>
    <comment ref="B107" authorId="0">
      <text>
        <r>
          <rPr>
            <b/>
            <sz val="9"/>
            <rFont val="宋体"/>
            <charset val="134"/>
          </rPr>
          <t>作者:</t>
        </r>
        <r>
          <rPr>
            <sz val="9"/>
            <rFont val="宋体"/>
            <charset val="134"/>
          </rPr>
          <t xml:space="preserve">
请在下拉列表中选择填写内容！</t>
        </r>
      </text>
    </comment>
    <comment ref="G107" authorId="0">
      <text>
        <r>
          <rPr>
            <b/>
            <sz val="9"/>
            <rFont val="宋体"/>
            <charset val="134"/>
          </rPr>
          <t>作者:</t>
        </r>
        <r>
          <rPr>
            <sz val="9"/>
            <rFont val="宋体"/>
            <charset val="134"/>
          </rPr>
          <t xml:space="preserve">
如：“辽宁省人民政府”,“辽宁省教育厅”,“教育部”等。</t>
        </r>
      </text>
    </comment>
    <comment ref="H107" authorId="3">
      <text>
        <r>
          <rPr>
            <b/>
            <sz val="9"/>
            <rFont val="宋体"/>
            <charset val="134"/>
          </rPr>
          <t xml:space="preserve">作者:
</t>
        </r>
        <r>
          <rPr>
            <sz val="9"/>
            <rFont val="宋体"/>
            <charset val="134"/>
          </rPr>
          <t>请在下拉列表中选择填写内容！</t>
        </r>
      </text>
    </comment>
    <comment ref="I107" authorId="2">
      <text>
        <r>
          <rPr>
            <b/>
            <sz val="9"/>
            <rFont val="宋体"/>
            <charset val="134"/>
          </rPr>
          <t>作者:
直接填写数字！</t>
        </r>
        <r>
          <rPr>
            <sz val="9"/>
            <rFont val="宋体"/>
            <charset val="134"/>
          </rPr>
          <t>属“独立完成”不填写本栏目。</t>
        </r>
      </text>
    </comment>
    <comment ref="J107" authorId="0">
      <text>
        <r>
          <rPr>
            <b/>
            <sz val="9"/>
            <rFont val="宋体"/>
            <charset val="134"/>
          </rPr>
          <t>作者:
直接填写数字！</t>
        </r>
        <r>
          <rPr>
            <sz val="9"/>
            <rFont val="宋体"/>
            <charset val="134"/>
          </rPr>
          <t>属“独立完成”不填写本栏目。</t>
        </r>
      </text>
    </comment>
    <comment ref="K107" authorId="0">
      <text>
        <r>
          <rPr>
            <b/>
            <sz val="9"/>
            <rFont val="宋体"/>
            <charset val="134"/>
          </rPr>
          <t>作者:
只填写数字！请注意单位！</t>
        </r>
      </text>
    </comment>
    <comment ref="B112" authorId="0">
      <text>
        <r>
          <rPr>
            <b/>
            <sz val="9"/>
            <rFont val="宋体"/>
            <charset val="134"/>
          </rPr>
          <t>作者:</t>
        </r>
        <r>
          <rPr>
            <sz val="9"/>
            <rFont val="宋体"/>
            <charset val="134"/>
          </rPr>
          <t xml:space="preserve">
请在下拉列表中选择填写内容！</t>
        </r>
      </text>
    </comment>
    <comment ref="I112" authorId="3">
      <text>
        <r>
          <rPr>
            <b/>
            <sz val="9"/>
            <rFont val="宋体"/>
            <charset val="134"/>
          </rPr>
          <t xml:space="preserve">作者:
</t>
        </r>
        <r>
          <rPr>
            <sz val="9"/>
            <rFont val="宋体"/>
            <charset val="134"/>
          </rPr>
          <t>请在下拉列表中选择填写内容！</t>
        </r>
      </text>
    </comment>
    <comment ref="J112" authorId="2">
      <text>
        <r>
          <rPr>
            <b/>
            <sz val="9"/>
            <rFont val="宋体"/>
            <charset val="134"/>
          </rPr>
          <t>作者:
直接填写数字！</t>
        </r>
        <r>
          <rPr>
            <sz val="9"/>
            <rFont val="宋体"/>
            <charset val="134"/>
          </rPr>
          <t>属“独立完成”不填写本栏目。</t>
        </r>
      </text>
    </comment>
    <comment ref="K112" authorId="0">
      <text>
        <r>
          <rPr>
            <b/>
            <sz val="9"/>
            <rFont val="宋体"/>
            <charset val="134"/>
          </rPr>
          <t>作者:
直接填写数字！</t>
        </r>
        <r>
          <rPr>
            <sz val="9"/>
            <rFont val="宋体"/>
            <charset val="134"/>
          </rPr>
          <t>属“独立完成”不填写本栏目。</t>
        </r>
      </text>
    </comment>
    <comment ref="B113" authorId="0">
      <text>
        <r>
          <rPr>
            <b/>
            <sz val="9"/>
            <rFont val="宋体"/>
            <charset val="134"/>
          </rPr>
          <t>作者:</t>
        </r>
        <r>
          <rPr>
            <sz val="9"/>
            <rFont val="宋体"/>
            <charset val="134"/>
          </rPr>
          <t xml:space="preserve">
请在下拉列表中选择填写内容！</t>
        </r>
      </text>
    </comment>
    <comment ref="I113" authorId="3">
      <text>
        <r>
          <rPr>
            <b/>
            <sz val="9"/>
            <rFont val="宋体"/>
            <charset val="134"/>
          </rPr>
          <t xml:space="preserve">作者:
</t>
        </r>
        <r>
          <rPr>
            <sz val="9"/>
            <rFont val="宋体"/>
            <charset val="134"/>
          </rPr>
          <t>请在下拉列表中选择填写内容！</t>
        </r>
      </text>
    </comment>
    <comment ref="J113" authorId="2">
      <text>
        <r>
          <rPr>
            <b/>
            <sz val="9"/>
            <rFont val="宋体"/>
            <charset val="134"/>
          </rPr>
          <t>作者:
直接填写数字！</t>
        </r>
        <r>
          <rPr>
            <sz val="9"/>
            <rFont val="宋体"/>
            <charset val="134"/>
          </rPr>
          <t>属“独立完成”不填写本栏目。</t>
        </r>
      </text>
    </comment>
    <comment ref="K113" authorId="0">
      <text>
        <r>
          <rPr>
            <b/>
            <sz val="9"/>
            <rFont val="宋体"/>
            <charset val="134"/>
          </rPr>
          <t>作者:
直接填写数字！</t>
        </r>
        <r>
          <rPr>
            <sz val="9"/>
            <rFont val="宋体"/>
            <charset val="134"/>
          </rPr>
          <t>属“独立完成”不填写本栏目。</t>
        </r>
      </text>
    </comment>
    <comment ref="B114" authorId="0">
      <text>
        <r>
          <rPr>
            <b/>
            <sz val="9"/>
            <rFont val="宋体"/>
            <charset val="134"/>
          </rPr>
          <t>作者:</t>
        </r>
        <r>
          <rPr>
            <sz val="9"/>
            <rFont val="宋体"/>
            <charset val="134"/>
          </rPr>
          <t xml:space="preserve">
请在下拉列表中选择填写内容！</t>
        </r>
      </text>
    </comment>
    <comment ref="I114" authorId="3">
      <text>
        <r>
          <rPr>
            <b/>
            <sz val="9"/>
            <rFont val="宋体"/>
            <charset val="134"/>
          </rPr>
          <t xml:space="preserve">作者:
</t>
        </r>
        <r>
          <rPr>
            <sz val="9"/>
            <rFont val="宋体"/>
            <charset val="134"/>
          </rPr>
          <t>请在下拉列表中选择填写内容！</t>
        </r>
      </text>
    </comment>
    <comment ref="J114" authorId="2">
      <text>
        <r>
          <rPr>
            <b/>
            <sz val="9"/>
            <rFont val="宋体"/>
            <charset val="134"/>
          </rPr>
          <t>作者:
直接填写数字！</t>
        </r>
        <r>
          <rPr>
            <sz val="9"/>
            <rFont val="宋体"/>
            <charset val="134"/>
          </rPr>
          <t>属“独立完成”不填写本栏目。</t>
        </r>
      </text>
    </comment>
    <comment ref="K114" authorId="0">
      <text>
        <r>
          <rPr>
            <b/>
            <sz val="9"/>
            <rFont val="宋体"/>
            <charset val="134"/>
          </rPr>
          <t>作者:
直接填写数字！</t>
        </r>
        <r>
          <rPr>
            <sz val="9"/>
            <rFont val="宋体"/>
            <charset val="134"/>
          </rPr>
          <t>属“独立完成”不填写本栏目。</t>
        </r>
      </text>
    </comment>
    <comment ref="B118" authorId="0">
      <text>
        <r>
          <rPr>
            <b/>
            <sz val="9"/>
            <rFont val="宋体"/>
            <charset val="134"/>
          </rPr>
          <t>作者:</t>
        </r>
        <r>
          <rPr>
            <sz val="9"/>
            <rFont val="宋体"/>
            <charset val="134"/>
          </rPr>
          <t xml:space="preserve">
请在下拉列表中选择填写内容！</t>
        </r>
      </text>
    </comment>
    <comment ref="C118" authorId="0">
      <text>
        <r>
          <rPr>
            <b/>
            <sz val="9"/>
            <rFont val="宋体"/>
            <charset val="134"/>
          </rPr>
          <t>作者:</t>
        </r>
        <r>
          <rPr>
            <sz val="9"/>
            <rFont val="宋体"/>
            <charset val="134"/>
          </rPr>
          <t xml:space="preserve">
请在下拉列表中选择填写内容！</t>
        </r>
      </text>
    </comment>
    <comment ref="G118" authorId="1">
      <text>
        <r>
          <rPr>
            <b/>
            <sz val="9"/>
            <rFont val="宋体"/>
            <charset val="134"/>
          </rPr>
          <t>admin:</t>
        </r>
        <r>
          <rPr>
            <sz val="9"/>
            <rFont val="宋体"/>
            <charset val="134"/>
          </rPr>
          <t xml:space="preserve">
作者:
如：“辽宁省人民政府”,“辽宁省教育厅”,“教育部”等。
</t>
        </r>
      </text>
    </comment>
    <comment ref="I118" authorId="3">
      <text>
        <r>
          <rPr>
            <b/>
            <sz val="9"/>
            <rFont val="宋体"/>
            <charset val="134"/>
          </rPr>
          <t xml:space="preserve">作者:
</t>
        </r>
        <r>
          <rPr>
            <sz val="9"/>
            <rFont val="宋体"/>
            <charset val="134"/>
          </rPr>
          <t>请在下拉列表中选择填写内容！</t>
        </r>
      </text>
    </comment>
    <comment ref="J118" authorId="2">
      <text>
        <r>
          <rPr>
            <b/>
            <sz val="9"/>
            <rFont val="宋体"/>
            <charset val="134"/>
          </rPr>
          <t>作者:
直接填写数字！</t>
        </r>
        <r>
          <rPr>
            <sz val="9"/>
            <rFont val="宋体"/>
            <charset val="134"/>
          </rPr>
          <t>属“独立完成”不填写本栏目。</t>
        </r>
      </text>
    </comment>
    <comment ref="K118" authorId="0">
      <text>
        <r>
          <rPr>
            <b/>
            <sz val="9"/>
            <rFont val="宋体"/>
            <charset val="134"/>
          </rPr>
          <t>作者:
直接填写数字！</t>
        </r>
        <r>
          <rPr>
            <sz val="9"/>
            <rFont val="宋体"/>
            <charset val="134"/>
          </rPr>
          <t>属“独立完成”不填写本栏目。</t>
        </r>
      </text>
    </comment>
    <comment ref="B119" authorId="0">
      <text>
        <r>
          <rPr>
            <b/>
            <sz val="9"/>
            <rFont val="宋体"/>
            <charset val="134"/>
          </rPr>
          <t>作者:</t>
        </r>
        <r>
          <rPr>
            <sz val="9"/>
            <rFont val="宋体"/>
            <charset val="134"/>
          </rPr>
          <t xml:space="preserve">
请在下拉列表中选择填写内容！</t>
        </r>
      </text>
    </comment>
    <comment ref="C119" authorId="0">
      <text>
        <r>
          <rPr>
            <b/>
            <sz val="9"/>
            <rFont val="宋体"/>
            <charset val="134"/>
          </rPr>
          <t>作者:</t>
        </r>
        <r>
          <rPr>
            <sz val="9"/>
            <rFont val="宋体"/>
            <charset val="134"/>
          </rPr>
          <t xml:space="preserve">
请在下拉列表中选择填写内容！</t>
        </r>
      </text>
    </comment>
    <comment ref="G119" authorId="1">
      <text>
        <r>
          <rPr>
            <b/>
            <sz val="9"/>
            <rFont val="宋体"/>
            <charset val="134"/>
          </rPr>
          <t>admin:</t>
        </r>
        <r>
          <rPr>
            <sz val="9"/>
            <rFont val="宋体"/>
            <charset val="134"/>
          </rPr>
          <t xml:space="preserve">
作者:
如：“辽宁省人民政府”,“辽宁省教育厅”,“教育部”等。</t>
        </r>
      </text>
    </comment>
    <comment ref="I119" authorId="3">
      <text>
        <r>
          <rPr>
            <b/>
            <sz val="9"/>
            <rFont val="宋体"/>
            <charset val="134"/>
          </rPr>
          <t xml:space="preserve">作者:
</t>
        </r>
        <r>
          <rPr>
            <sz val="9"/>
            <rFont val="宋体"/>
            <charset val="134"/>
          </rPr>
          <t>请在下拉列表中选择填写内容！</t>
        </r>
      </text>
    </comment>
    <comment ref="J119" authorId="2">
      <text>
        <r>
          <rPr>
            <b/>
            <sz val="9"/>
            <rFont val="宋体"/>
            <charset val="134"/>
          </rPr>
          <t>作者:
直接填写数字！</t>
        </r>
        <r>
          <rPr>
            <sz val="9"/>
            <rFont val="宋体"/>
            <charset val="134"/>
          </rPr>
          <t>属“独立完成”不填写本栏目。</t>
        </r>
      </text>
    </comment>
    <comment ref="K119" authorId="0">
      <text>
        <r>
          <rPr>
            <b/>
            <sz val="9"/>
            <rFont val="宋体"/>
            <charset val="134"/>
          </rPr>
          <t>作者:
直接填写数字！</t>
        </r>
        <r>
          <rPr>
            <sz val="9"/>
            <rFont val="宋体"/>
            <charset val="134"/>
          </rPr>
          <t>属“独立完成”不填写本栏目。</t>
        </r>
      </text>
    </comment>
    <comment ref="B123" authorId="0">
      <text>
        <r>
          <rPr>
            <b/>
            <sz val="9"/>
            <rFont val="宋体"/>
            <charset val="134"/>
          </rPr>
          <t>作者:</t>
        </r>
        <r>
          <rPr>
            <sz val="9"/>
            <rFont val="宋体"/>
            <charset val="134"/>
          </rPr>
          <t xml:space="preserve">
请在下拉列表中选择填写内容！</t>
        </r>
      </text>
    </comment>
    <comment ref="C123" authorId="4">
      <text>
        <r>
          <rPr>
            <b/>
            <sz val="9"/>
            <rFont val="宋体"/>
            <charset val="134"/>
          </rPr>
          <t>Admin:</t>
        </r>
        <r>
          <rPr>
            <sz val="9"/>
            <rFont val="宋体"/>
            <charset val="134"/>
          </rPr>
          <t xml:space="preserve">
请在下拉列表中选择填写内容！
</t>
        </r>
      </text>
    </comment>
    <comment ref="E123" authorId="0">
      <text>
        <r>
          <rPr>
            <b/>
            <sz val="9"/>
            <rFont val="宋体"/>
            <charset val="134"/>
          </rPr>
          <t>作者:</t>
        </r>
        <r>
          <rPr>
            <sz val="9"/>
            <rFont val="宋体"/>
            <charset val="134"/>
          </rPr>
          <t xml:space="preserve">
请在下拉列表中选择填写内容！</t>
        </r>
      </text>
    </comment>
    <comment ref="I123" authorId="3">
      <text>
        <r>
          <rPr>
            <b/>
            <sz val="9"/>
            <rFont val="宋体"/>
            <charset val="134"/>
          </rPr>
          <t xml:space="preserve">作者:
</t>
        </r>
        <r>
          <rPr>
            <sz val="9"/>
            <rFont val="宋体"/>
            <charset val="134"/>
          </rPr>
          <t>请在下拉列表中选择填写内容！</t>
        </r>
      </text>
    </comment>
    <comment ref="J123" authorId="0">
      <text>
        <r>
          <rPr>
            <b/>
            <sz val="9"/>
            <rFont val="宋体"/>
            <charset val="134"/>
          </rPr>
          <t>作者:
直接填写数字！</t>
        </r>
        <r>
          <rPr>
            <sz val="9"/>
            <rFont val="宋体"/>
            <charset val="134"/>
          </rPr>
          <t>属“独立完成”不填写本栏目。</t>
        </r>
      </text>
    </comment>
    <comment ref="K123" authorId="0">
      <text>
        <r>
          <rPr>
            <b/>
            <sz val="9"/>
            <rFont val="宋体"/>
            <charset val="134"/>
          </rPr>
          <t>作者:
直接填写数字！</t>
        </r>
        <r>
          <rPr>
            <sz val="9"/>
            <rFont val="宋体"/>
            <charset val="134"/>
          </rPr>
          <t>属“独立完成”不填写本栏目。</t>
        </r>
      </text>
    </comment>
    <comment ref="B124" authorId="0">
      <text>
        <r>
          <rPr>
            <b/>
            <sz val="9"/>
            <rFont val="宋体"/>
            <charset val="134"/>
          </rPr>
          <t>作者:</t>
        </r>
        <r>
          <rPr>
            <sz val="9"/>
            <rFont val="宋体"/>
            <charset val="134"/>
          </rPr>
          <t xml:space="preserve">
请在下拉列表中选择填写内容！“示范专业”请选择“品牌专业”。</t>
        </r>
      </text>
    </comment>
    <comment ref="C124" authorId="4">
      <text>
        <r>
          <rPr>
            <b/>
            <sz val="9"/>
            <rFont val="宋体"/>
            <charset val="134"/>
          </rPr>
          <t>Admin:</t>
        </r>
        <r>
          <rPr>
            <sz val="9"/>
            <rFont val="宋体"/>
            <charset val="134"/>
          </rPr>
          <t xml:space="preserve">
请在下拉列表中选择填写内容！
</t>
        </r>
      </text>
    </comment>
    <comment ref="E124" authorId="0">
      <text>
        <r>
          <rPr>
            <b/>
            <sz val="9"/>
            <rFont val="宋体"/>
            <charset val="134"/>
          </rPr>
          <t>作者:</t>
        </r>
        <r>
          <rPr>
            <sz val="9"/>
            <rFont val="宋体"/>
            <charset val="134"/>
          </rPr>
          <t xml:space="preserve">
请在下拉列表中选择填写内容！</t>
        </r>
      </text>
    </comment>
    <comment ref="I124" authorId="3">
      <text>
        <r>
          <rPr>
            <b/>
            <sz val="9"/>
            <rFont val="宋体"/>
            <charset val="134"/>
          </rPr>
          <t xml:space="preserve">作者:
</t>
        </r>
        <r>
          <rPr>
            <sz val="9"/>
            <rFont val="宋体"/>
            <charset val="134"/>
          </rPr>
          <t>请在下拉列表中选择填写内容！</t>
        </r>
      </text>
    </comment>
    <comment ref="J124" authorId="0">
      <text>
        <r>
          <rPr>
            <b/>
            <sz val="9"/>
            <rFont val="宋体"/>
            <charset val="134"/>
          </rPr>
          <t>作者:
直接填写数字！</t>
        </r>
        <r>
          <rPr>
            <sz val="9"/>
            <rFont val="宋体"/>
            <charset val="134"/>
          </rPr>
          <t>属“独立完成”不填写本栏目。</t>
        </r>
      </text>
    </comment>
    <comment ref="K124" authorId="0">
      <text>
        <r>
          <rPr>
            <b/>
            <sz val="9"/>
            <rFont val="宋体"/>
            <charset val="134"/>
          </rPr>
          <t>作者:
直接填写数字！</t>
        </r>
        <r>
          <rPr>
            <sz val="9"/>
            <rFont val="宋体"/>
            <charset val="134"/>
          </rPr>
          <t>属“独立完成”不填写本栏目。</t>
        </r>
      </text>
    </comment>
    <comment ref="B128" authorId="0">
      <text>
        <r>
          <rPr>
            <b/>
            <sz val="9"/>
            <rFont val="宋体"/>
            <charset val="134"/>
          </rPr>
          <t>作者:</t>
        </r>
        <r>
          <rPr>
            <sz val="9"/>
            <rFont val="宋体"/>
            <charset val="134"/>
          </rPr>
          <t xml:space="preserve">
请在下拉列表中选择填写内容！“示范专业”请选择“品牌专业”。</t>
        </r>
      </text>
    </comment>
    <comment ref="D128" authorId="1">
      <text>
        <r>
          <rPr>
            <b/>
            <sz val="9"/>
            <rFont val="宋体"/>
            <charset val="134"/>
          </rPr>
          <t>admin:</t>
        </r>
        <r>
          <rPr>
            <sz val="9"/>
            <rFont val="宋体"/>
            <charset val="134"/>
          </rPr>
          <t xml:space="preserve">
填写格式：例
2016年9月-2019年8月</t>
        </r>
      </text>
    </comment>
    <comment ref="B132" authorId="0">
      <text>
        <r>
          <rPr>
            <b/>
            <sz val="9"/>
            <rFont val="宋体"/>
            <charset val="134"/>
          </rPr>
          <t>作者:</t>
        </r>
        <r>
          <rPr>
            <sz val="9"/>
            <rFont val="宋体"/>
            <charset val="134"/>
          </rPr>
          <t xml:space="preserve">
请在下拉列表中选择填写内容！“示范专业”请选择“品牌专业”。</t>
        </r>
      </text>
    </comment>
    <comment ref="C132" authorId="4">
      <text>
        <r>
          <rPr>
            <b/>
            <sz val="9"/>
            <rFont val="宋体"/>
            <charset val="134"/>
          </rPr>
          <t>Admin:</t>
        </r>
        <r>
          <rPr>
            <sz val="9"/>
            <rFont val="宋体"/>
            <charset val="134"/>
          </rPr>
          <t xml:space="preserve">
请在下拉列表中选择填写内容！
</t>
        </r>
      </text>
    </comment>
    <comment ref="E132" authorId="0">
      <text>
        <r>
          <rPr>
            <b/>
            <sz val="9"/>
            <rFont val="宋体"/>
            <charset val="134"/>
          </rPr>
          <t>作者:</t>
        </r>
        <r>
          <rPr>
            <sz val="9"/>
            <rFont val="宋体"/>
            <charset val="134"/>
          </rPr>
          <t xml:space="preserve">
请在下拉列表中选择填写内容！</t>
        </r>
      </text>
    </comment>
    <comment ref="I132" authorId="3">
      <text>
        <r>
          <rPr>
            <b/>
            <sz val="9"/>
            <rFont val="宋体"/>
            <charset val="134"/>
          </rPr>
          <t xml:space="preserve">作者:
</t>
        </r>
        <r>
          <rPr>
            <sz val="9"/>
            <rFont val="宋体"/>
            <charset val="134"/>
          </rPr>
          <t>请在下拉列表中选择填写内容！</t>
        </r>
      </text>
    </comment>
    <comment ref="J132" authorId="0">
      <text>
        <r>
          <rPr>
            <b/>
            <sz val="9"/>
            <rFont val="宋体"/>
            <charset val="134"/>
          </rPr>
          <t>作者:
直接填写数字！</t>
        </r>
        <r>
          <rPr>
            <sz val="9"/>
            <rFont val="宋体"/>
            <charset val="134"/>
          </rPr>
          <t>属“独立完成”不填写本栏目。</t>
        </r>
      </text>
    </comment>
    <comment ref="K132" authorId="0">
      <text>
        <r>
          <rPr>
            <b/>
            <sz val="9"/>
            <rFont val="宋体"/>
            <charset val="134"/>
          </rPr>
          <t>作者:
直接填写数字！</t>
        </r>
        <r>
          <rPr>
            <sz val="9"/>
            <rFont val="宋体"/>
            <charset val="134"/>
          </rPr>
          <t>属“独立完成”不填写本栏目。</t>
        </r>
      </text>
    </comment>
    <comment ref="B136" authorId="4">
      <text>
        <r>
          <rPr>
            <b/>
            <sz val="9"/>
            <rFont val="宋体"/>
            <charset val="134"/>
          </rPr>
          <t>Admin:</t>
        </r>
        <r>
          <rPr>
            <sz val="9"/>
            <rFont val="宋体"/>
            <charset val="134"/>
          </rPr>
          <t xml:space="preserve">
请在下拉列表中选择填写内容！
</t>
        </r>
      </text>
    </comment>
    <comment ref="C136" authorId="0">
      <text>
        <r>
          <rPr>
            <b/>
            <sz val="9"/>
            <rFont val="宋体"/>
            <charset val="134"/>
          </rPr>
          <t>作者:</t>
        </r>
        <r>
          <rPr>
            <sz val="9"/>
            <rFont val="宋体"/>
            <charset val="134"/>
          </rPr>
          <t xml:space="preserve">
请在下拉列表中选择填写内容！</t>
        </r>
      </text>
    </comment>
    <comment ref="I136" authorId="1">
      <text>
        <r>
          <rPr>
            <b/>
            <sz val="9"/>
            <rFont val="宋体"/>
            <charset val="134"/>
          </rPr>
          <t>admin:</t>
        </r>
        <r>
          <rPr>
            <sz val="9"/>
            <rFont val="宋体"/>
            <charset val="134"/>
          </rPr>
          <t xml:space="preserve">
请规范填写时间！格式为“1999年10月”</t>
        </r>
      </text>
    </comment>
    <comment ref="J136" authorId="3">
      <text>
        <r>
          <rPr>
            <b/>
            <sz val="9"/>
            <rFont val="宋体"/>
            <charset val="134"/>
          </rPr>
          <t xml:space="preserve">作者:
</t>
        </r>
        <r>
          <rPr>
            <sz val="9"/>
            <rFont val="宋体"/>
            <charset val="134"/>
          </rPr>
          <t>请在下拉列表中选择填写内容！</t>
        </r>
      </text>
    </comment>
    <comment ref="K136" authorId="0">
      <text>
        <r>
          <rPr>
            <b/>
            <sz val="9"/>
            <rFont val="宋体"/>
            <charset val="134"/>
          </rPr>
          <t>作者:
直接填写数字！</t>
        </r>
        <r>
          <rPr>
            <sz val="9"/>
            <rFont val="宋体"/>
            <charset val="134"/>
          </rPr>
          <t>属“独立完成”不填写本栏目。</t>
        </r>
      </text>
    </comment>
    <comment ref="B137" authorId="4">
      <text>
        <r>
          <rPr>
            <b/>
            <sz val="9"/>
            <rFont val="宋体"/>
            <charset val="134"/>
          </rPr>
          <t>Admin:</t>
        </r>
        <r>
          <rPr>
            <sz val="9"/>
            <rFont val="宋体"/>
            <charset val="134"/>
          </rPr>
          <t xml:space="preserve">
请在下拉列表中选择填写内容！
</t>
        </r>
      </text>
    </comment>
    <comment ref="C137" authorId="0">
      <text>
        <r>
          <rPr>
            <b/>
            <sz val="9"/>
            <rFont val="宋体"/>
            <charset val="134"/>
          </rPr>
          <t>作者:</t>
        </r>
        <r>
          <rPr>
            <sz val="9"/>
            <rFont val="宋体"/>
            <charset val="134"/>
          </rPr>
          <t xml:space="preserve">
请在下拉列表中选择填写内容！</t>
        </r>
      </text>
    </comment>
    <comment ref="J137" authorId="3">
      <text>
        <r>
          <rPr>
            <b/>
            <sz val="9"/>
            <rFont val="宋体"/>
            <charset val="134"/>
          </rPr>
          <t xml:space="preserve">作者:
</t>
        </r>
        <r>
          <rPr>
            <sz val="9"/>
            <rFont val="宋体"/>
            <charset val="134"/>
          </rPr>
          <t>请在下拉列表中选择填写内容！</t>
        </r>
      </text>
    </comment>
    <comment ref="K137" authorId="0">
      <text>
        <r>
          <rPr>
            <b/>
            <sz val="9"/>
            <rFont val="宋体"/>
            <charset val="134"/>
          </rPr>
          <t>作者:
直接填写数字！</t>
        </r>
        <r>
          <rPr>
            <sz val="9"/>
            <rFont val="宋体"/>
            <charset val="134"/>
          </rPr>
          <t>属“独立完成”不填写本栏目。</t>
        </r>
      </text>
    </comment>
    <comment ref="B138" authorId="4">
      <text>
        <r>
          <rPr>
            <b/>
            <sz val="9"/>
            <rFont val="宋体"/>
            <charset val="134"/>
          </rPr>
          <t>Admin:</t>
        </r>
        <r>
          <rPr>
            <sz val="9"/>
            <rFont val="宋体"/>
            <charset val="134"/>
          </rPr>
          <t xml:space="preserve">
请在下拉列表中选择填写内容！
</t>
        </r>
      </text>
    </comment>
    <comment ref="C138" authorId="0">
      <text>
        <r>
          <rPr>
            <b/>
            <sz val="9"/>
            <rFont val="宋体"/>
            <charset val="134"/>
          </rPr>
          <t>作者:</t>
        </r>
        <r>
          <rPr>
            <sz val="9"/>
            <rFont val="宋体"/>
            <charset val="134"/>
          </rPr>
          <t xml:space="preserve">
请在下拉列表中选择填写内容！</t>
        </r>
      </text>
    </comment>
    <comment ref="J138" authorId="3">
      <text>
        <r>
          <rPr>
            <b/>
            <sz val="9"/>
            <rFont val="宋体"/>
            <charset val="134"/>
          </rPr>
          <t xml:space="preserve">作者:
</t>
        </r>
        <r>
          <rPr>
            <sz val="9"/>
            <rFont val="宋体"/>
            <charset val="134"/>
          </rPr>
          <t>请在下拉列表中选择填写内容！</t>
        </r>
      </text>
    </comment>
    <comment ref="K138" authorId="0">
      <text>
        <r>
          <rPr>
            <b/>
            <sz val="9"/>
            <rFont val="宋体"/>
            <charset val="134"/>
          </rPr>
          <t>作者:
直接填写数字！</t>
        </r>
        <r>
          <rPr>
            <sz val="9"/>
            <rFont val="宋体"/>
            <charset val="134"/>
          </rPr>
          <t>属“独立完成”不填写本栏目。</t>
        </r>
      </text>
    </comment>
    <comment ref="B142" authorId="0">
      <text>
        <r>
          <rPr>
            <b/>
            <sz val="9"/>
            <rFont val="宋体"/>
            <charset val="134"/>
          </rPr>
          <t>作者:</t>
        </r>
        <r>
          <rPr>
            <sz val="9"/>
            <rFont val="宋体"/>
            <charset val="134"/>
          </rPr>
          <t xml:space="preserve">
请在下拉列表中选择填写内容！</t>
        </r>
      </text>
    </comment>
    <comment ref="C142" authorId="0">
      <text>
        <r>
          <rPr>
            <b/>
            <sz val="9"/>
            <rFont val="宋体"/>
            <charset val="134"/>
          </rPr>
          <t>作者:</t>
        </r>
        <r>
          <rPr>
            <sz val="9"/>
            <rFont val="宋体"/>
            <charset val="134"/>
          </rPr>
          <t xml:space="preserve">
请在下拉列表中选择填写内容！</t>
        </r>
      </text>
    </comment>
    <comment ref="E142" authorId="1">
      <text>
        <r>
          <rPr>
            <b/>
            <sz val="9"/>
            <rFont val="宋体"/>
            <charset val="134"/>
          </rPr>
          <t>admin:</t>
        </r>
        <r>
          <rPr>
            <sz val="9"/>
            <rFont val="宋体"/>
            <charset val="134"/>
          </rPr>
          <t xml:space="preserve">
请规范填写时间！格式为“1999年10月”
</t>
        </r>
      </text>
    </comment>
    <comment ref="I142" authorId="3">
      <text>
        <r>
          <rPr>
            <b/>
            <sz val="9"/>
            <rFont val="宋体"/>
            <charset val="134"/>
          </rPr>
          <t xml:space="preserve">作者:
</t>
        </r>
        <r>
          <rPr>
            <sz val="9"/>
            <rFont val="宋体"/>
            <charset val="134"/>
          </rPr>
          <t>请在下拉列表中选择填写内容！</t>
        </r>
      </text>
    </comment>
    <comment ref="B143" authorId="0">
      <text>
        <r>
          <rPr>
            <b/>
            <sz val="9"/>
            <rFont val="宋体"/>
            <charset val="134"/>
          </rPr>
          <t>作者:</t>
        </r>
        <r>
          <rPr>
            <sz val="9"/>
            <rFont val="宋体"/>
            <charset val="134"/>
          </rPr>
          <t xml:space="preserve">
请在下拉列表中选择填写内容！</t>
        </r>
      </text>
    </comment>
    <comment ref="C143" authorId="0">
      <text>
        <r>
          <rPr>
            <b/>
            <sz val="9"/>
            <rFont val="宋体"/>
            <charset val="134"/>
          </rPr>
          <t>作者:</t>
        </r>
        <r>
          <rPr>
            <sz val="9"/>
            <rFont val="宋体"/>
            <charset val="134"/>
          </rPr>
          <t xml:space="preserve">
请在下拉列表中选择填写内容！</t>
        </r>
      </text>
    </comment>
    <comment ref="I143" authorId="3">
      <text>
        <r>
          <rPr>
            <b/>
            <sz val="9"/>
            <rFont val="宋体"/>
            <charset val="134"/>
          </rPr>
          <t xml:space="preserve">作者:
</t>
        </r>
        <r>
          <rPr>
            <sz val="9"/>
            <rFont val="宋体"/>
            <charset val="134"/>
          </rPr>
          <t>请在下拉列表中选择填写内容！</t>
        </r>
      </text>
    </comment>
    <comment ref="J143" authorId="2">
      <text>
        <r>
          <rPr>
            <b/>
            <sz val="9"/>
            <rFont val="宋体"/>
            <charset val="134"/>
          </rPr>
          <t>作者:
直接填写数字！</t>
        </r>
        <r>
          <rPr>
            <sz val="9"/>
            <rFont val="宋体"/>
            <charset val="134"/>
          </rPr>
          <t>属“独立完成”不填写本栏目。</t>
        </r>
      </text>
    </comment>
    <comment ref="K143" authorId="0">
      <text>
        <r>
          <rPr>
            <b/>
            <sz val="9"/>
            <rFont val="宋体"/>
            <charset val="134"/>
          </rPr>
          <t>作者:
直接填写数字！</t>
        </r>
        <r>
          <rPr>
            <sz val="9"/>
            <rFont val="宋体"/>
            <charset val="134"/>
          </rPr>
          <t>属“独立完成”不填写本栏目。</t>
        </r>
      </text>
    </comment>
    <comment ref="B147" authorId="0">
      <text>
        <r>
          <rPr>
            <b/>
            <sz val="9"/>
            <rFont val="宋体"/>
            <charset val="134"/>
          </rPr>
          <t>作者:</t>
        </r>
        <r>
          <rPr>
            <sz val="9"/>
            <rFont val="宋体"/>
            <charset val="134"/>
          </rPr>
          <t xml:space="preserve">
请在下拉列表中选择填写内容！</t>
        </r>
      </text>
    </comment>
    <comment ref="C147" authorId="0">
      <text>
        <r>
          <rPr>
            <b/>
            <sz val="9"/>
            <rFont val="宋体"/>
            <charset val="134"/>
          </rPr>
          <t>作者:</t>
        </r>
        <r>
          <rPr>
            <sz val="9"/>
            <rFont val="宋体"/>
            <charset val="134"/>
          </rPr>
          <t xml:space="preserve">
请在下拉列表中选择填写内容！</t>
        </r>
      </text>
    </comment>
    <comment ref="E147" authorId="1">
      <text>
        <r>
          <rPr>
            <b/>
            <sz val="9"/>
            <rFont val="宋体"/>
            <charset val="134"/>
          </rPr>
          <t>admin:</t>
        </r>
        <r>
          <rPr>
            <sz val="9"/>
            <rFont val="宋体"/>
            <charset val="134"/>
          </rPr>
          <t xml:space="preserve">
请在下拉列表中选择填写内容！
</t>
        </r>
      </text>
    </comment>
    <comment ref="I147" authorId="1">
      <text>
        <r>
          <rPr>
            <b/>
            <sz val="9"/>
            <rFont val="宋体"/>
            <charset val="134"/>
          </rPr>
          <t>admin:</t>
        </r>
        <r>
          <rPr>
            <sz val="9"/>
            <rFont val="宋体"/>
            <charset val="134"/>
          </rPr>
          <t xml:space="preserve">
请在下拉列表中选择填写内容</t>
        </r>
      </text>
    </comment>
    <comment ref="B149" authorId="0">
      <text>
        <r>
          <rPr>
            <b/>
            <sz val="9"/>
            <rFont val="宋体"/>
            <charset val="134"/>
          </rPr>
          <t>作者:</t>
        </r>
        <r>
          <rPr>
            <sz val="9"/>
            <rFont val="宋体"/>
            <charset val="134"/>
          </rPr>
          <t xml:space="preserve">
请在下拉列表中选择填写内容！</t>
        </r>
      </text>
    </comment>
    <comment ref="C149" authorId="0">
      <text>
        <r>
          <rPr>
            <b/>
            <sz val="9"/>
            <rFont val="宋体"/>
            <charset val="134"/>
          </rPr>
          <t>作者:</t>
        </r>
        <r>
          <rPr>
            <sz val="9"/>
            <rFont val="宋体"/>
            <charset val="134"/>
          </rPr>
          <t xml:space="preserve">
请在下拉列表中选择填写内容！</t>
        </r>
      </text>
    </comment>
    <comment ref="B153" authorId="0">
      <text>
        <r>
          <rPr>
            <b/>
            <sz val="9"/>
            <rFont val="宋体"/>
            <charset val="134"/>
          </rPr>
          <t>作者:</t>
        </r>
        <r>
          <rPr>
            <sz val="9"/>
            <rFont val="宋体"/>
            <charset val="134"/>
          </rPr>
          <t xml:space="preserve">
请在下拉列表中选择填写内容！</t>
        </r>
      </text>
    </comment>
    <comment ref="C153" authorId="0">
      <text>
        <r>
          <rPr>
            <b/>
            <sz val="9"/>
            <rFont val="宋体"/>
            <charset val="134"/>
          </rPr>
          <t>作者:</t>
        </r>
        <r>
          <rPr>
            <sz val="9"/>
            <rFont val="宋体"/>
            <charset val="134"/>
          </rPr>
          <t xml:space="preserve">
请在下拉列表中选择填写内容！</t>
        </r>
      </text>
    </comment>
    <comment ref="E153" authorId="1">
      <text>
        <r>
          <rPr>
            <b/>
            <sz val="9"/>
            <rFont val="宋体"/>
            <charset val="134"/>
          </rPr>
          <t>admin:</t>
        </r>
        <r>
          <rPr>
            <sz val="9"/>
            <rFont val="宋体"/>
            <charset val="134"/>
          </rPr>
          <t xml:space="preserve">
请在下拉列表中选择填写内容！
</t>
        </r>
      </text>
    </comment>
    <comment ref="I153" authorId="3">
      <text>
        <r>
          <rPr>
            <b/>
            <sz val="9"/>
            <rFont val="宋体"/>
            <charset val="134"/>
          </rPr>
          <t xml:space="preserve">作者:
</t>
        </r>
        <r>
          <rPr>
            <sz val="9"/>
            <rFont val="宋体"/>
            <charset val="134"/>
          </rPr>
          <t>请在下拉列表中选择填写内容！</t>
        </r>
      </text>
    </comment>
    <comment ref="K153" authorId="1">
      <text>
        <r>
          <rPr>
            <b/>
            <sz val="9"/>
            <rFont val="宋体"/>
            <charset val="134"/>
          </rPr>
          <t>admin:</t>
        </r>
        <r>
          <rPr>
            <sz val="9"/>
            <rFont val="宋体"/>
            <charset val="134"/>
          </rPr>
          <t xml:space="preserve">
请规范填写时间！格式为“1999年10月”</t>
        </r>
      </text>
    </comment>
    <comment ref="B155" authorId="0">
      <text>
        <r>
          <rPr>
            <b/>
            <sz val="9"/>
            <rFont val="宋体"/>
            <charset val="134"/>
          </rPr>
          <t>作者:</t>
        </r>
        <r>
          <rPr>
            <sz val="9"/>
            <rFont val="宋体"/>
            <charset val="134"/>
          </rPr>
          <t xml:space="preserve">
请在下拉列表中选择填写内容！</t>
        </r>
      </text>
    </comment>
    <comment ref="C155" authorId="0">
      <text>
        <r>
          <rPr>
            <b/>
            <sz val="9"/>
            <rFont val="宋体"/>
            <charset val="134"/>
          </rPr>
          <t>作者:</t>
        </r>
        <r>
          <rPr>
            <sz val="9"/>
            <rFont val="宋体"/>
            <charset val="134"/>
          </rPr>
          <t xml:space="preserve">
请在下拉列表中选择填写内容！</t>
        </r>
      </text>
    </comment>
    <comment ref="B159" authorId="0">
      <text>
        <r>
          <rPr>
            <b/>
            <sz val="9"/>
            <rFont val="宋体"/>
            <charset val="134"/>
          </rPr>
          <t>作者:</t>
        </r>
        <r>
          <rPr>
            <sz val="9"/>
            <rFont val="宋体"/>
            <charset val="134"/>
          </rPr>
          <t xml:space="preserve">
请在下拉列表中选择填写内容！</t>
        </r>
      </text>
    </comment>
    <comment ref="C159" authorId="0">
      <text>
        <r>
          <rPr>
            <b/>
            <sz val="9"/>
            <rFont val="宋体"/>
            <charset val="134"/>
          </rPr>
          <t>作者:</t>
        </r>
        <r>
          <rPr>
            <sz val="9"/>
            <rFont val="宋体"/>
            <charset val="134"/>
          </rPr>
          <t xml:space="preserve">
请在下拉列表中选择填写内容！</t>
        </r>
      </text>
    </comment>
    <comment ref="I159" authorId="3">
      <text>
        <r>
          <rPr>
            <b/>
            <sz val="9"/>
            <rFont val="宋体"/>
            <charset val="134"/>
          </rPr>
          <t xml:space="preserve">作者:
</t>
        </r>
        <r>
          <rPr>
            <sz val="9"/>
            <rFont val="宋体"/>
            <charset val="134"/>
          </rPr>
          <t>请在下拉列表中选择填写内容！</t>
        </r>
      </text>
    </comment>
    <comment ref="K159" authorId="1">
      <text>
        <r>
          <rPr>
            <b/>
            <sz val="9"/>
            <rFont val="宋体"/>
            <charset val="134"/>
          </rPr>
          <t>admin:</t>
        </r>
        <r>
          <rPr>
            <sz val="9"/>
            <rFont val="宋体"/>
            <charset val="134"/>
          </rPr>
          <t xml:space="preserve">
请规范填写时间！格式为“1999年10月”</t>
        </r>
      </text>
    </comment>
    <comment ref="B164" authorId="0">
      <text>
        <r>
          <rPr>
            <b/>
            <sz val="9"/>
            <rFont val="宋体"/>
            <charset val="134"/>
          </rPr>
          <t>作者:</t>
        </r>
        <r>
          <rPr>
            <sz val="9"/>
            <rFont val="宋体"/>
            <charset val="134"/>
          </rPr>
          <t xml:space="preserve">
请在下拉列表中选择填写内容！</t>
        </r>
      </text>
    </comment>
    <comment ref="C164" authorId="0">
      <text>
        <r>
          <rPr>
            <b/>
            <sz val="9"/>
            <rFont val="宋体"/>
            <charset val="134"/>
          </rPr>
          <t>作者:</t>
        </r>
        <r>
          <rPr>
            <sz val="9"/>
            <rFont val="宋体"/>
            <charset val="134"/>
          </rPr>
          <t xml:space="preserve">
请在下拉列表中选择填写内容！</t>
        </r>
      </text>
    </comment>
    <comment ref="E164" authorId="1">
      <text>
        <r>
          <rPr>
            <b/>
            <sz val="9"/>
            <rFont val="宋体"/>
            <charset val="134"/>
          </rPr>
          <t>admin:</t>
        </r>
        <r>
          <rPr>
            <sz val="9"/>
            <rFont val="宋体"/>
            <charset val="134"/>
          </rPr>
          <t xml:space="preserve">
请在下拉列表中选择填写内容！
</t>
        </r>
      </text>
    </comment>
    <comment ref="I164" authorId="3">
      <text>
        <r>
          <rPr>
            <b/>
            <sz val="9"/>
            <rFont val="宋体"/>
            <charset val="134"/>
          </rPr>
          <t xml:space="preserve">作者:
</t>
        </r>
        <r>
          <rPr>
            <sz val="9"/>
            <rFont val="宋体"/>
            <charset val="134"/>
          </rPr>
          <t>请在下拉列表中选择填写内容！</t>
        </r>
      </text>
    </comment>
    <comment ref="K164" authorId="1">
      <text>
        <r>
          <rPr>
            <b/>
            <sz val="9"/>
            <rFont val="宋体"/>
            <charset val="134"/>
          </rPr>
          <t>admin:</t>
        </r>
        <r>
          <rPr>
            <sz val="9"/>
            <rFont val="宋体"/>
            <charset val="134"/>
          </rPr>
          <t xml:space="preserve">
请规范填写时间！格式为“1999年10月”</t>
        </r>
      </text>
    </comment>
    <comment ref="B166" authorId="0">
      <text>
        <r>
          <rPr>
            <b/>
            <sz val="9"/>
            <rFont val="宋体"/>
            <charset val="134"/>
          </rPr>
          <t>作者:</t>
        </r>
        <r>
          <rPr>
            <sz val="9"/>
            <rFont val="宋体"/>
            <charset val="134"/>
          </rPr>
          <t xml:space="preserve">
请在下拉列表中选择填写内容！</t>
        </r>
      </text>
    </comment>
    <comment ref="C166" authorId="0">
      <text>
        <r>
          <rPr>
            <b/>
            <sz val="9"/>
            <rFont val="宋体"/>
            <charset val="134"/>
          </rPr>
          <t>作者:</t>
        </r>
        <r>
          <rPr>
            <sz val="9"/>
            <rFont val="宋体"/>
            <charset val="134"/>
          </rPr>
          <t xml:space="preserve">
请在下拉列表中选择填写内容！</t>
        </r>
      </text>
    </comment>
    <comment ref="B170" authorId="4">
      <text>
        <r>
          <rPr>
            <b/>
            <sz val="9"/>
            <rFont val="宋体"/>
            <charset val="134"/>
          </rPr>
          <t>Admin:</t>
        </r>
        <r>
          <rPr>
            <sz val="9"/>
            <rFont val="宋体"/>
            <charset val="134"/>
          </rPr>
          <t xml:space="preserve">
请在下拉列表中选择填写内容！
</t>
        </r>
      </text>
    </comment>
    <comment ref="C170" authorId="0">
      <text>
        <r>
          <rPr>
            <b/>
            <sz val="9"/>
            <rFont val="宋体"/>
            <charset val="134"/>
          </rPr>
          <t>作者:</t>
        </r>
        <r>
          <rPr>
            <sz val="9"/>
            <rFont val="宋体"/>
            <charset val="134"/>
          </rPr>
          <t xml:space="preserve">
请在下拉列表中选择填写内容！</t>
        </r>
      </text>
    </comment>
    <comment ref="H170" authorId="1">
      <text>
        <r>
          <rPr>
            <b/>
            <sz val="9"/>
            <rFont val="宋体"/>
            <charset val="134"/>
          </rPr>
          <t>admin:</t>
        </r>
        <r>
          <rPr>
            <sz val="9"/>
            <rFont val="宋体"/>
            <charset val="134"/>
          </rPr>
          <t xml:space="preserve">
请规范填写时间！格式为“1999年10月”
</t>
        </r>
      </text>
    </comment>
    <comment ref="I170" authorId="3">
      <text>
        <r>
          <rPr>
            <b/>
            <sz val="9"/>
            <rFont val="宋体"/>
            <charset val="134"/>
          </rPr>
          <t xml:space="preserve">作者:
</t>
        </r>
        <r>
          <rPr>
            <sz val="9"/>
            <rFont val="宋体"/>
            <charset val="134"/>
          </rPr>
          <t>请在下拉列表中选择填写内容！</t>
        </r>
      </text>
    </comment>
    <comment ref="J170" authorId="0">
      <text>
        <r>
          <rPr>
            <b/>
            <sz val="9"/>
            <rFont val="宋体"/>
            <charset val="134"/>
          </rPr>
          <t>作者:
直接填写数字！</t>
        </r>
        <r>
          <rPr>
            <sz val="9"/>
            <rFont val="宋体"/>
            <charset val="134"/>
          </rPr>
          <t>属“独立完成”不填写本栏目。</t>
        </r>
      </text>
    </comment>
    <comment ref="K170" authorId="0">
      <text>
        <r>
          <rPr>
            <b/>
            <sz val="9"/>
            <rFont val="宋体"/>
            <charset val="134"/>
          </rPr>
          <t>作者:
直接填写数字！</t>
        </r>
        <r>
          <rPr>
            <sz val="9"/>
            <rFont val="宋体"/>
            <charset val="134"/>
          </rPr>
          <t>属“独立完成”不填写本栏目。</t>
        </r>
      </text>
    </comment>
    <comment ref="B171" authorId="4">
      <text>
        <r>
          <rPr>
            <b/>
            <sz val="9"/>
            <rFont val="宋体"/>
            <charset val="134"/>
          </rPr>
          <t>Admin:</t>
        </r>
        <r>
          <rPr>
            <sz val="9"/>
            <rFont val="宋体"/>
            <charset val="134"/>
          </rPr>
          <t xml:space="preserve">
请在下拉列表中选择填写内容！
</t>
        </r>
      </text>
    </comment>
    <comment ref="C171" authorId="0">
      <text>
        <r>
          <rPr>
            <b/>
            <sz val="9"/>
            <rFont val="宋体"/>
            <charset val="134"/>
          </rPr>
          <t>作者:</t>
        </r>
        <r>
          <rPr>
            <sz val="9"/>
            <rFont val="宋体"/>
            <charset val="134"/>
          </rPr>
          <t xml:space="preserve">
请在下拉列表中选择填写内容！</t>
        </r>
      </text>
    </comment>
    <comment ref="I171" authorId="3">
      <text>
        <r>
          <rPr>
            <b/>
            <sz val="9"/>
            <rFont val="宋体"/>
            <charset val="134"/>
          </rPr>
          <t xml:space="preserve">作者:
</t>
        </r>
        <r>
          <rPr>
            <sz val="9"/>
            <rFont val="宋体"/>
            <charset val="134"/>
          </rPr>
          <t>请在下拉列表中选择填写内容！</t>
        </r>
      </text>
    </comment>
    <comment ref="J171" authorId="0">
      <text>
        <r>
          <rPr>
            <b/>
            <sz val="9"/>
            <rFont val="宋体"/>
            <charset val="134"/>
          </rPr>
          <t>作者:
直接填写数字！</t>
        </r>
        <r>
          <rPr>
            <sz val="9"/>
            <rFont val="宋体"/>
            <charset val="134"/>
          </rPr>
          <t>属“独立完成”不填写本栏目。</t>
        </r>
      </text>
    </comment>
    <comment ref="K171" authorId="0">
      <text>
        <r>
          <rPr>
            <b/>
            <sz val="9"/>
            <rFont val="宋体"/>
            <charset val="134"/>
          </rPr>
          <t>作者:
直接填写数字！</t>
        </r>
        <r>
          <rPr>
            <sz val="9"/>
            <rFont val="宋体"/>
            <charset val="134"/>
          </rPr>
          <t>属“独立完成”不填写本栏目。</t>
        </r>
      </text>
    </comment>
    <comment ref="B177" authorId="0">
      <text>
        <r>
          <rPr>
            <b/>
            <sz val="9"/>
            <rFont val="宋体"/>
            <charset val="134"/>
          </rPr>
          <t>作者:</t>
        </r>
        <r>
          <rPr>
            <sz val="9"/>
            <rFont val="宋体"/>
            <charset val="134"/>
          </rPr>
          <t xml:space="preserve">
请在下拉列表中选择填写内容！</t>
        </r>
      </text>
    </comment>
    <comment ref="C177" authorId="0">
      <text>
        <r>
          <rPr>
            <b/>
            <sz val="9"/>
            <rFont val="宋体"/>
            <charset val="134"/>
          </rPr>
          <t>作者:</t>
        </r>
        <r>
          <rPr>
            <sz val="9"/>
            <rFont val="宋体"/>
            <charset val="134"/>
          </rPr>
          <t xml:space="preserve">
请在下拉列表中选择填写内容！</t>
        </r>
      </text>
    </comment>
    <comment ref="H177" authorId="1">
      <text>
        <r>
          <rPr>
            <b/>
            <sz val="9"/>
            <rFont val="宋体"/>
            <charset val="134"/>
          </rPr>
          <t>admin:</t>
        </r>
        <r>
          <rPr>
            <sz val="9"/>
            <rFont val="宋体"/>
            <charset val="134"/>
          </rPr>
          <t xml:space="preserve">
请规范填写时间！格式为“1999年10月”</t>
        </r>
      </text>
    </comment>
    <comment ref="I177" authorId="3">
      <text>
        <r>
          <rPr>
            <b/>
            <sz val="9"/>
            <rFont val="宋体"/>
            <charset val="134"/>
          </rPr>
          <t xml:space="preserve">作者:
</t>
        </r>
        <r>
          <rPr>
            <sz val="9"/>
            <rFont val="宋体"/>
            <charset val="134"/>
          </rPr>
          <t>请在下拉列表中选择填写内容！</t>
        </r>
      </text>
    </comment>
    <comment ref="K177" authorId="1">
      <text>
        <r>
          <rPr>
            <b/>
            <sz val="9"/>
            <rFont val="宋体"/>
            <charset val="134"/>
          </rPr>
          <t>admin:</t>
        </r>
        <r>
          <rPr>
            <sz val="9"/>
            <rFont val="宋体"/>
            <charset val="134"/>
          </rPr>
          <t xml:space="preserve">
请规范填写时间！格式为“1999年10月”</t>
        </r>
      </text>
    </comment>
    <comment ref="B182" authorId="0">
      <text>
        <r>
          <rPr>
            <b/>
            <sz val="9"/>
            <rFont val="宋体"/>
            <charset val="134"/>
          </rPr>
          <t>作者:</t>
        </r>
        <r>
          <rPr>
            <sz val="9"/>
            <rFont val="宋体"/>
            <charset val="134"/>
          </rPr>
          <t xml:space="preserve">
请在下拉列表中选择填写内容！</t>
        </r>
      </text>
    </comment>
    <comment ref="C182" authorId="0">
      <text>
        <r>
          <rPr>
            <b/>
            <sz val="9"/>
            <rFont val="宋体"/>
            <charset val="134"/>
          </rPr>
          <t>作者:</t>
        </r>
        <r>
          <rPr>
            <sz val="9"/>
            <rFont val="宋体"/>
            <charset val="134"/>
          </rPr>
          <t xml:space="preserve">
请在下拉列表中选择填写内容！</t>
        </r>
      </text>
    </comment>
    <comment ref="I182" authorId="3">
      <text>
        <r>
          <rPr>
            <b/>
            <sz val="9"/>
            <rFont val="宋体"/>
            <charset val="134"/>
          </rPr>
          <t xml:space="preserve">作者:
</t>
        </r>
        <r>
          <rPr>
            <sz val="9"/>
            <rFont val="宋体"/>
            <charset val="134"/>
          </rPr>
          <t>请在下拉列表中选择填写内容！</t>
        </r>
      </text>
    </comment>
    <comment ref="B183" authorId="0">
      <text>
        <r>
          <rPr>
            <b/>
            <sz val="9"/>
            <rFont val="宋体"/>
            <charset val="134"/>
          </rPr>
          <t>作者:</t>
        </r>
        <r>
          <rPr>
            <sz val="9"/>
            <rFont val="宋体"/>
            <charset val="134"/>
          </rPr>
          <t xml:space="preserve">
请在下拉列表中选择填写内容！</t>
        </r>
      </text>
    </comment>
    <comment ref="C183" authorId="0">
      <text>
        <r>
          <rPr>
            <b/>
            <sz val="9"/>
            <rFont val="宋体"/>
            <charset val="134"/>
          </rPr>
          <t>作者:</t>
        </r>
        <r>
          <rPr>
            <sz val="9"/>
            <rFont val="宋体"/>
            <charset val="134"/>
          </rPr>
          <t xml:space="preserve">
请在下拉列表中选择填写内容！</t>
        </r>
      </text>
    </comment>
    <comment ref="I183" authorId="3">
      <text>
        <r>
          <rPr>
            <b/>
            <sz val="9"/>
            <rFont val="宋体"/>
            <charset val="134"/>
          </rPr>
          <t xml:space="preserve">作者:
</t>
        </r>
        <r>
          <rPr>
            <sz val="9"/>
            <rFont val="宋体"/>
            <charset val="134"/>
          </rPr>
          <t>请在下拉列表中选择填写内容！</t>
        </r>
      </text>
    </comment>
    <comment ref="J183" authorId="2">
      <text>
        <r>
          <rPr>
            <b/>
            <sz val="9"/>
            <rFont val="宋体"/>
            <charset val="134"/>
          </rPr>
          <t>作者:
直接填写数字！</t>
        </r>
        <r>
          <rPr>
            <sz val="9"/>
            <rFont val="宋体"/>
            <charset val="134"/>
          </rPr>
          <t>属“独立完成”不填写本栏目。</t>
        </r>
      </text>
    </comment>
    <comment ref="K183" authorId="0">
      <text>
        <r>
          <rPr>
            <b/>
            <sz val="9"/>
            <rFont val="宋体"/>
            <charset val="134"/>
          </rPr>
          <t>作者:
直接填写数字！</t>
        </r>
        <r>
          <rPr>
            <sz val="9"/>
            <rFont val="宋体"/>
            <charset val="134"/>
          </rPr>
          <t>属“独立完成”不填写本栏目。</t>
        </r>
      </text>
    </comment>
    <comment ref="B187" authorId="0">
      <text>
        <r>
          <rPr>
            <b/>
            <sz val="9"/>
            <rFont val="宋体"/>
            <charset val="134"/>
          </rPr>
          <t>作者:</t>
        </r>
        <r>
          <rPr>
            <sz val="9"/>
            <rFont val="宋体"/>
            <charset val="134"/>
          </rPr>
          <t xml:space="preserve">
请在下拉列表中选择填写内容！</t>
        </r>
      </text>
    </comment>
    <comment ref="C187" authorId="4">
      <text>
        <r>
          <rPr>
            <b/>
            <sz val="9"/>
            <rFont val="宋体"/>
            <charset val="134"/>
          </rPr>
          <t>Admin:</t>
        </r>
        <r>
          <rPr>
            <sz val="9"/>
            <rFont val="宋体"/>
            <charset val="134"/>
          </rPr>
          <t xml:space="preserve">
请在下拉列表中选择填写内容！
</t>
        </r>
      </text>
    </comment>
    <comment ref="E187" authorId="0">
      <text>
        <r>
          <rPr>
            <b/>
            <sz val="9"/>
            <rFont val="宋体"/>
            <charset val="134"/>
          </rPr>
          <t>作者:</t>
        </r>
        <r>
          <rPr>
            <sz val="9"/>
            <rFont val="宋体"/>
            <charset val="134"/>
          </rPr>
          <t xml:space="preserve">
请在下拉列表中选择填写内容！</t>
        </r>
      </text>
    </comment>
    <comment ref="I187" authorId="3">
      <text>
        <r>
          <rPr>
            <b/>
            <sz val="9"/>
            <rFont val="宋体"/>
            <charset val="134"/>
          </rPr>
          <t xml:space="preserve">作者:
</t>
        </r>
        <r>
          <rPr>
            <sz val="9"/>
            <rFont val="宋体"/>
            <charset val="134"/>
          </rPr>
          <t>请在下拉列表中选择填写内容！</t>
        </r>
      </text>
    </comment>
    <comment ref="J187" authorId="0">
      <text>
        <r>
          <rPr>
            <b/>
            <sz val="9"/>
            <rFont val="宋体"/>
            <charset val="134"/>
          </rPr>
          <t>作者:
直接填写数字！</t>
        </r>
        <r>
          <rPr>
            <sz val="9"/>
            <rFont val="宋体"/>
            <charset val="134"/>
          </rPr>
          <t>属“独立完成”不填写本栏目。</t>
        </r>
      </text>
    </comment>
    <comment ref="K187" authorId="0">
      <text>
        <r>
          <rPr>
            <b/>
            <sz val="9"/>
            <rFont val="宋体"/>
            <charset val="134"/>
          </rPr>
          <t>作者:
直接填写数字！</t>
        </r>
        <r>
          <rPr>
            <sz val="9"/>
            <rFont val="宋体"/>
            <charset val="134"/>
          </rPr>
          <t>属“独立完成”不填写本栏目。</t>
        </r>
      </text>
    </comment>
    <comment ref="B188" authorId="0">
      <text>
        <r>
          <rPr>
            <b/>
            <sz val="9"/>
            <rFont val="宋体"/>
            <charset val="134"/>
          </rPr>
          <t>作者:</t>
        </r>
        <r>
          <rPr>
            <sz val="9"/>
            <rFont val="宋体"/>
            <charset val="134"/>
          </rPr>
          <t xml:space="preserve">
请在下拉列表中选择填写内容！“示范专业”请选择“品牌专业”。</t>
        </r>
      </text>
    </comment>
    <comment ref="C188" authorId="4">
      <text>
        <r>
          <rPr>
            <b/>
            <sz val="9"/>
            <rFont val="宋体"/>
            <charset val="134"/>
          </rPr>
          <t>Admin:</t>
        </r>
        <r>
          <rPr>
            <sz val="9"/>
            <rFont val="宋体"/>
            <charset val="134"/>
          </rPr>
          <t xml:space="preserve">
请在下拉列表中选择填写内容！
</t>
        </r>
      </text>
    </comment>
    <comment ref="E188" authorId="0">
      <text>
        <r>
          <rPr>
            <b/>
            <sz val="9"/>
            <rFont val="宋体"/>
            <charset val="134"/>
          </rPr>
          <t>作者:</t>
        </r>
        <r>
          <rPr>
            <sz val="9"/>
            <rFont val="宋体"/>
            <charset val="134"/>
          </rPr>
          <t xml:space="preserve">
请在下拉列表中选择填写内容！</t>
        </r>
      </text>
    </comment>
    <comment ref="I188" authorId="3">
      <text>
        <r>
          <rPr>
            <b/>
            <sz val="9"/>
            <rFont val="宋体"/>
            <charset val="134"/>
          </rPr>
          <t xml:space="preserve">作者:
</t>
        </r>
        <r>
          <rPr>
            <sz val="9"/>
            <rFont val="宋体"/>
            <charset val="134"/>
          </rPr>
          <t>请在下拉列表中选择填写内容！</t>
        </r>
      </text>
    </comment>
    <comment ref="J188" authorId="0">
      <text>
        <r>
          <rPr>
            <b/>
            <sz val="9"/>
            <rFont val="宋体"/>
            <charset val="134"/>
          </rPr>
          <t>作者:
直接填写数字！</t>
        </r>
        <r>
          <rPr>
            <sz val="9"/>
            <rFont val="宋体"/>
            <charset val="134"/>
          </rPr>
          <t>属“独立完成”不填写本栏目。</t>
        </r>
      </text>
    </comment>
    <comment ref="K188" authorId="0">
      <text>
        <r>
          <rPr>
            <b/>
            <sz val="9"/>
            <rFont val="宋体"/>
            <charset val="134"/>
          </rPr>
          <t>作者:
直接填写数字！</t>
        </r>
        <r>
          <rPr>
            <sz val="9"/>
            <rFont val="宋体"/>
            <charset val="134"/>
          </rPr>
          <t>属“独立完成”不填写本栏目。</t>
        </r>
      </text>
    </comment>
    <comment ref="B189" authorId="0">
      <text>
        <r>
          <rPr>
            <b/>
            <sz val="9"/>
            <rFont val="宋体"/>
            <charset val="134"/>
          </rPr>
          <t>作者:</t>
        </r>
        <r>
          <rPr>
            <sz val="9"/>
            <rFont val="宋体"/>
            <charset val="134"/>
          </rPr>
          <t xml:space="preserve">
请在下拉列表中选择填写内容！“示范专业”请选择“品牌专业”。</t>
        </r>
      </text>
    </comment>
    <comment ref="C189" authorId="4">
      <text>
        <r>
          <rPr>
            <b/>
            <sz val="9"/>
            <rFont val="宋体"/>
            <charset val="134"/>
          </rPr>
          <t>Admin:</t>
        </r>
        <r>
          <rPr>
            <sz val="9"/>
            <rFont val="宋体"/>
            <charset val="134"/>
          </rPr>
          <t xml:space="preserve">
请在下拉列表中选择填写内容！
</t>
        </r>
      </text>
    </comment>
    <comment ref="E189" authorId="0">
      <text>
        <r>
          <rPr>
            <b/>
            <sz val="9"/>
            <rFont val="宋体"/>
            <charset val="134"/>
          </rPr>
          <t>作者:</t>
        </r>
        <r>
          <rPr>
            <sz val="9"/>
            <rFont val="宋体"/>
            <charset val="134"/>
          </rPr>
          <t xml:space="preserve">
请在下拉列表中选择填写内容！</t>
        </r>
      </text>
    </comment>
    <comment ref="I189" authorId="3">
      <text>
        <r>
          <rPr>
            <b/>
            <sz val="9"/>
            <rFont val="宋体"/>
            <charset val="134"/>
          </rPr>
          <t xml:space="preserve">作者:
</t>
        </r>
        <r>
          <rPr>
            <sz val="9"/>
            <rFont val="宋体"/>
            <charset val="134"/>
          </rPr>
          <t>请在下拉列表中选择填写内容！</t>
        </r>
      </text>
    </comment>
    <comment ref="J189" authorId="0">
      <text>
        <r>
          <rPr>
            <b/>
            <sz val="9"/>
            <rFont val="宋体"/>
            <charset val="134"/>
          </rPr>
          <t>作者:
直接填写数字！</t>
        </r>
        <r>
          <rPr>
            <sz val="9"/>
            <rFont val="宋体"/>
            <charset val="134"/>
          </rPr>
          <t>属“独立完成”不填写本栏目。</t>
        </r>
      </text>
    </comment>
    <comment ref="K189" authorId="0">
      <text>
        <r>
          <rPr>
            <b/>
            <sz val="9"/>
            <rFont val="宋体"/>
            <charset val="134"/>
          </rPr>
          <t>作者:
直接填写数字！</t>
        </r>
        <r>
          <rPr>
            <sz val="9"/>
            <rFont val="宋体"/>
            <charset val="134"/>
          </rPr>
          <t>属“独立完成”不填写本栏目。</t>
        </r>
      </text>
    </comment>
    <comment ref="B191" authorId="0">
      <text>
        <r>
          <rPr>
            <b/>
            <sz val="9"/>
            <rFont val="宋体"/>
            <charset val="134"/>
          </rPr>
          <t>作者:</t>
        </r>
        <r>
          <rPr>
            <sz val="9"/>
            <rFont val="宋体"/>
            <charset val="134"/>
          </rPr>
          <t xml:space="preserve">
请在下拉列表中选择填写内容！“示范专业”请选择“品牌专业”。</t>
        </r>
      </text>
    </comment>
    <comment ref="C191" authorId="4">
      <text>
        <r>
          <rPr>
            <b/>
            <sz val="9"/>
            <rFont val="宋体"/>
            <charset val="134"/>
          </rPr>
          <t>Admin:</t>
        </r>
        <r>
          <rPr>
            <sz val="9"/>
            <rFont val="宋体"/>
            <charset val="134"/>
          </rPr>
          <t xml:space="preserve">
请在下拉列表中选择填写内容！
</t>
        </r>
      </text>
    </comment>
    <comment ref="E191" authorId="0">
      <text>
        <r>
          <rPr>
            <b/>
            <sz val="9"/>
            <rFont val="宋体"/>
            <charset val="134"/>
          </rPr>
          <t>作者:</t>
        </r>
        <r>
          <rPr>
            <sz val="9"/>
            <rFont val="宋体"/>
            <charset val="134"/>
          </rPr>
          <t xml:space="preserve">
请在下拉列表中选择填写内容！</t>
        </r>
      </text>
    </comment>
    <comment ref="I191" authorId="3">
      <text>
        <r>
          <rPr>
            <b/>
            <sz val="9"/>
            <rFont val="宋体"/>
            <charset val="134"/>
          </rPr>
          <t xml:space="preserve">作者:
</t>
        </r>
        <r>
          <rPr>
            <sz val="9"/>
            <rFont val="宋体"/>
            <charset val="134"/>
          </rPr>
          <t>请在下拉列表中选择填写内容！</t>
        </r>
      </text>
    </comment>
    <comment ref="J191" authorId="0">
      <text>
        <r>
          <rPr>
            <b/>
            <sz val="9"/>
            <rFont val="宋体"/>
            <charset val="134"/>
          </rPr>
          <t>作者:
直接填写数字！</t>
        </r>
        <r>
          <rPr>
            <sz val="9"/>
            <rFont val="宋体"/>
            <charset val="134"/>
          </rPr>
          <t>属“独立完成”不填写本栏目。</t>
        </r>
      </text>
    </comment>
    <comment ref="K191" authorId="0">
      <text>
        <r>
          <rPr>
            <b/>
            <sz val="9"/>
            <rFont val="宋体"/>
            <charset val="134"/>
          </rPr>
          <t>作者:
直接填写数字！</t>
        </r>
        <r>
          <rPr>
            <sz val="9"/>
            <rFont val="宋体"/>
            <charset val="134"/>
          </rPr>
          <t>属“独立完成”不填写本栏目。</t>
        </r>
      </text>
    </comment>
  </commentList>
</comments>
</file>

<file path=xl/sharedStrings.xml><?xml version="1.0" encoding="utf-8"?>
<sst xmlns="http://schemas.openxmlformats.org/spreadsheetml/2006/main" count="716" uniqueCount="405">
  <si>
    <t>填表说明：</t>
  </si>
  <si>
    <t>1.本表由本人填写，所在部门（单位）审核。</t>
  </si>
  <si>
    <t>2.填表前请认真阅读填表说明及相关文件，由前至后，严格按照提示，认真如实填写！</t>
  </si>
  <si>
    <t>3.填写完毕后请使用A4纸单面打印。</t>
  </si>
  <si>
    <t>4.本表中所有成果须为取得中级专业技术职务以来的成果。成果认定截止时间按照相关文件规定。</t>
  </si>
  <si>
    <r>
      <rPr>
        <sz val="11"/>
        <color indexed="9"/>
        <rFont val="宋体"/>
        <charset val="134"/>
      </rPr>
      <t>5.表中所有涉及年月项目必须采用“</t>
    </r>
    <r>
      <rPr>
        <sz val="11"/>
        <color indexed="10"/>
        <rFont val="宋体"/>
        <charset val="134"/>
      </rPr>
      <t>XXXX年X月</t>
    </r>
    <r>
      <rPr>
        <sz val="11"/>
        <color indexed="9"/>
        <rFont val="宋体"/>
        <charset val="134"/>
      </rPr>
      <t>”的格式进行填写。</t>
    </r>
  </si>
  <si>
    <t>大连职业技术学院（大连开放大学）
专业技术职称评审量化赋分认定表</t>
  </si>
  <si>
    <t>年度</t>
  </si>
  <si>
    <t>部门（单位）:</t>
  </si>
  <si>
    <t>姓        名:</t>
  </si>
  <si>
    <t>现专业技术职称:</t>
  </si>
  <si>
    <t>现专业技术层级:</t>
  </si>
  <si>
    <t>中级</t>
  </si>
  <si>
    <t>申报评审系列:</t>
  </si>
  <si>
    <t>专业课教师</t>
  </si>
  <si>
    <t>申报专业技术职称:</t>
  </si>
  <si>
    <t>副教授</t>
  </si>
  <si>
    <t>填 表 时 间:</t>
  </si>
  <si>
    <t>教师发展中心制</t>
  </si>
  <si>
    <t>姓 名</t>
  </si>
  <si>
    <t>性 别</t>
  </si>
  <si>
    <t>出生日期</t>
  </si>
  <si>
    <t>年龄</t>
  </si>
  <si>
    <t>最后学位（学历）</t>
  </si>
  <si>
    <t>最高学位（学历）
专业</t>
  </si>
  <si>
    <t>学位（学历）授予单位</t>
  </si>
  <si>
    <t>学历（位）及取得时间</t>
  </si>
  <si>
    <t>中级职称取得年限</t>
  </si>
  <si>
    <t>最高学位（学历）取得时间</t>
  </si>
  <si>
    <t>最高学位（学历）
取得年限</t>
  </si>
  <si>
    <t>部门（单位）</t>
  </si>
  <si>
    <t>现任专业技术职称</t>
  </si>
  <si>
    <t>中级职称取得时间</t>
  </si>
  <si>
    <t>现工作岗位</t>
  </si>
  <si>
    <t>岗位属性</t>
  </si>
  <si>
    <t>一、教育教学工作经历</t>
  </si>
  <si>
    <t>班导师工作</t>
  </si>
  <si>
    <t>指导班级</t>
  </si>
  <si>
    <t>指导时间</t>
  </si>
  <si>
    <t>认定结果</t>
  </si>
  <si>
    <t>认定人</t>
  </si>
  <si>
    <t>教师教学
综合评价</t>
  </si>
  <si>
    <t>A档数量</t>
  </si>
  <si>
    <t>B档数量</t>
  </si>
  <si>
    <t>C档数量</t>
  </si>
  <si>
    <t>D档数量</t>
  </si>
  <si>
    <t>近五年来独立
承担的教学任务</t>
  </si>
  <si>
    <t>课程名称</t>
  </si>
  <si>
    <t>授课学期</t>
  </si>
  <si>
    <t>授课班级</t>
  </si>
  <si>
    <t>授课门数</t>
  </si>
  <si>
    <t>毕业顶岗实习指导学期</t>
  </si>
  <si>
    <t>毕业顶岗实习指导专业</t>
  </si>
  <si>
    <t>毕业顶岗实习指导学生数（人）</t>
  </si>
  <si>
    <t>指导学生数</t>
  </si>
  <si>
    <t>职业教育
教学工作量
（学时）</t>
  </si>
  <si>
    <t>年均
工作量</t>
  </si>
  <si>
    <t>工作量得分</t>
  </si>
  <si>
    <t>工作量是否满足必备条件</t>
  </si>
  <si>
    <t>开放教育
教学工作量
（学时）</t>
  </si>
  <si>
    <t>企业实践
（天）</t>
  </si>
  <si>
    <t>合计</t>
  </si>
  <si>
    <t>企业实践得分</t>
  </si>
  <si>
    <t>企业实践是否满足必备条件</t>
  </si>
  <si>
    <t>近三年继续教育
（培训进修）</t>
  </si>
  <si>
    <t>类别</t>
  </si>
  <si>
    <t>起止时间</t>
  </si>
  <si>
    <t>参加培训名称</t>
  </si>
  <si>
    <t>培训地点</t>
  </si>
  <si>
    <t>培训学时</t>
  </si>
  <si>
    <t>培训基础分数</t>
  </si>
  <si>
    <t>培训加分</t>
  </si>
  <si>
    <t>国培次数</t>
  </si>
  <si>
    <t>境外线上线下培训次数</t>
  </si>
  <si>
    <t>近五年
承担培训任务</t>
  </si>
  <si>
    <t>培训时间</t>
  </si>
  <si>
    <t>培训项目名称</t>
  </si>
  <si>
    <t>主要承担的培训内容</t>
  </si>
  <si>
    <t>培训对象</t>
  </si>
  <si>
    <t>培训人数</t>
  </si>
  <si>
    <t>培训任务得分</t>
  </si>
  <si>
    <t>二、教学教研业绩成果</t>
  </si>
  <si>
    <t>1-1：任中级职称以来学术论文情况</t>
  </si>
  <si>
    <t>刊物级别</t>
  </si>
  <si>
    <t>论文或文章名称</t>
  </si>
  <si>
    <t>发表刊物</t>
  </si>
  <si>
    <t>学校署名</t>
  </si>
  <si>
    <t>作者情况</t>
  </si>
  <si>
    <t>合作人数</t>
  </si>
  <si>
    <t>本人排序</t>
  </si>
  <si>
    <t>权重系数</t>
  </si>
  <si>
    <t>量化得分</t>
  </si>
  <si>
    <t>合作系数</t>
  </si>
  <si>
    <t>JA三大检索得分</t>
  </si>
  <si>
    <t>中文核心期刊得分</t>
  </si>
  <si>
    <t>CA三大检索得分</t>
  </si>
  <si>
    <t>一般期刊、外文期刊</t>
  </si>
  <si>
    <t>国际学术会议论文集</t>
  </si>
  <si>
    <t>国家级重要报刊</t>
  </si>
  <si>
    <t>省级重要报刊理论版</t>
  </si>
  <si>
    <t>市级重要报刊</t>
  </si>
  <si>
    <t>综合</t>
  </si>
  <si>
    <t>第一作者领先级论文数量</t>
  </si>
  <si>
    <t>第一作者论文数量</t>
  </si>
  <si>
    <t>1-2：任中级职称以来的著作、教材及教学（实验）标准情况</t>
  </si>
  <si>
    <t>项目类别</t>
  </si>
  <si>
    <t>成果名称</t>
  </si>
  <si>
    <t>出版社</t>
  </si>
  <si>
    <t>是否再版</t>
  </si>
  <si>
    <t>出版时间</t>
  </si>
  <si>
    <t>编写字数
(万字)</t>
  </si>
  <si>
    <t>排名次序</t>
  </si>
  <si>
    <t>系数</t>
  </si>
  <si>
    <t>每万字分值</t>
  </si>
  <si>
    <t>再版系数</t>
  </si>
  <si>
    <t>普通教材</t>
  </si>
  <si>
    <t>省级规划教材</t>
  </si>
  <si>
    <t>国家级规划教材</t>
  </si>
  <si>
    <t>编著、译著</t>
  </si>
  <si>
    <t>学术专著</t>
  </si>
  <si>
    <t>校本教材、实训指导书</t>
  </si>
  <si>
    <t>国家级标准</t>
  </si>
  <si>
    <t>省部级（行业）标准</t>
  </si>
  <si>
    <t>市级（地方）标准</t>
  </si>
  <si>
    <t>满足主编及字数的数量</t>
  </si>
  <si>
    <t>满足参编职数数量</t>
  </si>
  <si>
    <t>2-1：任中级职称以来教科研项目情况</t>
  </si>
  <si>
    <t>项目级别</t>
  </si>
  <si>
    <t>名称</t>
  </si>
  <si>
    <t>立项机构</t>
  </si>
  <si>
    <t>完成情况</t>
  </si>
  <si>
    <t>经费(万元)</t>
  </si>
  <si>
    <t>项目分值</t>
  </si>
  <si>
    <t>横向经费加分</t>
  </si>
  <si>
    <t>横向经费上限分</t>
  </si>
  <si>
    <t>国家级课题项目</t>
  </si>
  <si>
    <t>省级课题项目</t>
  </si>
  <si>
    <t>市级课题项目</t>
  </si>
  <si>
    <t>校级课题项目</t>
  </si>
  <si>
    <t>横向课题项目</t>
  </si>
  <si>
    <t>主持市级以上课题主持次数</t>
  </si>
  <si>
    <t>前2名参与省级级以上课题主持次数</t>
  </si>
  <si>
    <t>2-2：任中级职称以来获得的成果奖项情况</t>
  </si>
  <si>
    <t>奖项类别</t>
  </si>
  <si>
    <t>获奖级别</t>
  </si>
  <si>
    <t>奖励部门</t>
  </si>
  <si>
    <t>市级分值</t>
  </si>
  <si>
    <t>校级分值</t>
  </si>
  <si>
    <t>国家级分值</t>
  </si>
  <si>
    <t>国开等级分值</t>
  </si>
  <si>
    <t>省级分值</t>
  </si>
  <si>
    <t>主持并获得市级二等奖以上次数</t>
  </si>
  <si>
    <t>前两名参与获得省级三等奖及以上。</t>
  </si>
  <si>
    <t>2-3：任中级职称以来完成横向技术项目情况</t>
  </si>
  <si>
    <t>服务对象</t>
  </si>
  <si>
    <t>3：任中级职称以来发明专利情况</t>
  </si>
  <si>
    <t>专利类别</t>
  </si>
  <si>
    <t>颁发机构</t>
  </si>
  <si>
    <t>分值</t>
  </si>
  <si>
    <t>外观设计专利</t>
  </si>
  <si>
    <t>软件著作权登记</t>
  </si>
  <si>
    <t>实用新型专利</t>
  </si>
  <si>
    <t>发明专利</t>
  </si>
  <si>
    <t>第一人发明数量</t>
  </si>
  <si>
    <t>4：任中级职称以来获得的国家、省级科研奖项情况</t>
  </si>
  <si>
    <t>科研奖项类别</t>
  </si>
  <si>
    <t>满足必备条件数量</t>
  </si>
  <si>
    <t>5-1：任中级职称以来的创新教学团队建设情况</t>
  </si>
  <si>
    <t>分项</t>
  </si>
  <si>
    <t>级别</t>
  </si>
  <si>
    <t>颁发部门机构</t>
  </si>
  <si>
    <t>教学、科研团队分值</t>
  </si>
  <si>
    <t>主持团队建设数量</t>
  </si>
  <si>
    <t>前2参与校级以上团队数量</t>
  </si>
  <si>
    <t>团队建设合作系数</t>
  </si>
  <si>
    <t>其他荣誉合作系数</t>
  </si>
  <si>
    <t>5-2-1：任中级职称以来指导青年教师情况</t>
  </si>
  <si>
    <t>培养对象
姓名</t>
  </si>
  <si>
    <t>培养时间</t>
  </si>
  <si>
    <t>培养对象工作岗位</t>
  </si>
  <si>
    <t>开始培养时
培养对象职称</t>
  </si>
  <si>
    <t>开始培养时
培养对象年龄</t>
  </si>
  <si>
    <t>培养对象符合条件数量</t>
  </si>
  <si>
    <t>5-2-2：任中级职称以来所指导青年教师获得荣誉、成果情况</t>
  </si>
  <si>
    <t>被培养人分值1</t>
  </si>
  <si>
    <t>被培养人分值2</t>
  </si>
  <si>
    <t>6：任中级职称以来本人参加教学能力大赛、专业竞赛或本领域相关比赛获奖情况</t>
  </si>
  <si>
    <t>获奖等级</t>
  </si>
  <si>
    <t>获奖时间</t>
  </si>
  <si>
    <t>满足条件数量</t>
  </si>
  <si>
    <t>7：“双师”素质（取得非教师系列相关专业的高级专业技术任职资格证书或相关岗位的高级职业技能资格证书）</t>
  </si>
  <si>
    <t>证书类别</t>
  </si>
  <si>
    <t>取得时间</t>
  </si>
  <si>
    <t>专业（职业）名称</t>
  </si>
  <si>
    <t>授予部门（机构）</t>
  </si>
  <si>
    <t>高级分值</t>
  </si>
  <si>
    <t>中级分值</t>
  </si>
  <si>
    <t>初级分值</t>
  </si>
  <si>
    <t>无等级分值</t>
  </si>
  <si>
    <t>8：任中级职称以来的实践能力</t>
  </si>
  <si>
    <t>能力类别</t>
  </si>
  <si>
    <t>项目(企业）级别</t>
  </si>
  <si>
    <t>项目（实践成果）名称</t>
  </si>
  <si>
    <t>认定单位
（机关）</t>
  </si>
  <si>
    <t>实训中心分值</t>
  </si>
  <si>
    <t>实训基地分值</t>
  </si>
  <si>
    <t>创新创业基地分值</t>
  </si>
  <si>
    <t>企业工作分值</t>
  </si>
  <si>
    <t>单项基地建设数量</t>
  </si>
  <si>
    <t>实训中心建设数量</t>
  </si>
  <si>
    <t>企业经历满足条件数量</t>
  </si>
  <si>
    <t>9：任中级职称以来的项目设计能力</t>
  </si>
  <si>
    <t>项目名称</t>
  </si>
  <si>
    <t>认定单位</t>
  </si>
  <si>
    <t>实训项目分值</t>
  </si>
  <si>
    <t>创新创业分值</t>
  </si>
  <si>
    <t>主持满足必备条件数量</t>
  </si>
  <si>
    <t>参与满足必备条件数量</t>
  </si>
  <si>
    <t>10：任中级职称以来的推广、开发的新技术、新工艺、新产品或处理重大、关键技术问题情况</t>
  </si>
  <si>
    <t>11：任中级职称以来的分析、研究能力(专项技术分析报告或重大项目可行性研究报告)</t>
  </si>
  <si>
    <t>报告名称</t>
  </si>
  <si>
    <t>认定单位(批示领导）</t>
  </si>
  <si>
    <t>报告分值</t>
  </si>
  <si>
    <t>12：任中级职称以来指导学生参加技能、创新创业竞赛或本领域相关比赛获奖情况</t>
  </si>
  <si>
    <t>世界级分值</t>
  </si>
  <si>
    <t>13：任中级职称以来的1+X 证书试点、考点项目建设情况</t>
  </si>
  <si>
    <t>完成时间</t>
  </si>
  <si>
    <t>14：任中级职称以来服务专业领域或行业企业情况</t>
  </si>
  <si>
    <t>专家类型</t>
  </si>
  <si>
    <t>服务内容</t>
  </si>
  <si>
    <t>对应政府部门或行业、企业</t>
  </si>
  <si>
    <t>三、其他成绩附加项</t>
  </si>
  <si>
    <t>品牌双高卓越专业分值</t>
  </si>
  <si>
    <t>五星专业分值</t>
  </si>
  <si>
    <t>四星专业分值</t>
  </si>
  <si>
    <t>学徒制、1+X 考点分值</t>
  </si>
  <si>
    <t>主持资源库建设分值</t>
  </si>
  <si>
    <t>参与资源库建设分值</t>
  </si>
  <si>
    <t>课程建设分值</t>
  </si>
  <si>
    <t>课程合作系数</t>
  </si>
  <si>
    <t>专业、其他合作系数</t>
  </si>
  <si>
    <t>文化建设项目分值</t>
  </si>
  <si>
    <t>产教融合项目分值</t>
  </si>
  <si>
    <t>辅导员名师分值</t>
  </si>
  <si>
    <t>教学名师分值</t>
  </si>
  <si>
    <t>专业、学术带头人分值</t>
  </si>
  <si>
    <t>骨干分值</t>
  </si>
  <si>
    <t>学生团体荣誉分值</t>
  </si>
  <si>
    <t>技能大师分值</t>
  </si>
  <si>
    <t>社团指导教师分值</t>
  </si>
  <si>
    <t>党组织、其他团体分值</t>
  </si>
  <si>
    <t>教师党支部书记分值</t>
  </si>
  <si>
    <t>党务、其他工作项目荣誉分值</t>
  </si>
  <si>
    <t>专业技术职称评审量化赋分结果汇总</t>
  </si>
  <si>
    <t>基本条件</t>
  </si>
  <si>
    <t>学历（位）得分</t>
  </si>
  <si>
    <t>是否满足必备条件</t>
  </si>
  <si>
    <t>中级职称取得年限分</t>
  </si>
  <si>
    <t>基本条件得分合计</t>
  </si>
  <si>
    <t>教育教学
工作经历</t>
  </si>
  <si>
    <t>班导师工作得分</t>
  </si>
  <si>
    <t>班导师是否
满足必备条件</t>
  </si>
  <si>
    <t>教师教学综合评价得分</t>
  </si>
  <si>
    <t>综合评价是否
满足必备条件</t>
  </si>
  <si>
    <t>授课门数
是否满足必备条件</t>
  </si>
  <si>
    <t>指导毕业定岗实习
是否满足必备条件</t>
  </si>
  <si>
    <t xml:space="preserve">教学工作量得分
</t>
  </si>
  <si>
    <t>工作量是否
满足必备条件</t>
  </si>
  <si>
    <t>继续教育
（培训进修）得分</t>
  </si>
  <si>
    <t>继续教育
是否满足必备条件</t>
  </si>
  <si>
    <t>教育教学工作经历
得分合计</t>
  </si>
  <si>
    <t>教学教研
业绩成果</t>
  </si>
  <si>
    <t>学术论文得分</t>
  </si>
  <si>
    <t>著作、教材
得分</t>
  </si>
  <si>
    <t>论文及著作、教材是否满足必备条件</t>
  </si>
  <si>
    <t>教科研项目得分</t>
  </si>
  <si>
    <t>成果奖项得分</t>
  </si>
  <si>
    <t>横向技术项目得分</t>
  </si>
  <si>
    <t>教科研项目及成果奖项是否满足必备条件</t>
  </si>
  <si>
    <t>发明专利
得分</t>
  </si>
  <si>
    <t>发明专利是否满足必备项</t>
  </si>
  <si>
    <t>论文满足条件情况</t>
  </si>
  <si>
    <t>著作教材满足情况</t>
  </si>
  <si>
    <t>国家、省级科研
奖项得分</t>
  </si>
  <si>
    <t>科研奖项是否满足必备条件</t>
  </si>
  <si>
    <t>团队建设和
师资培养得分</t>
  </si>
  <si>
    <t>团队建设和师资培养是否满足必备条件</t>
  </si>
  <si>
    <t>服务专业领域或
行业企业得分</t>
  </si>
  <si>
    <t>本人参赛得分</t>
  </si>
  <si>
    <t>本人参赛是否满足必备条件</t>
  </si>
  <si>
    <t>“双师”素质
得分</t>
  </si>
  <si>
    <t>“双师”素质是否满足必备条件</t>
  </si>
  <si>
    <t>实践能力得分</t>
  </si>
  <si>
    <t>实践能力是否满足必备条件</t>
  </si>
  <si>
    <t>项目设计能力得分</t>
  </si>
  <si>
    <t>项目设计能力是否
满足必备条件</t>
  </si>
  <si>
    <t>分析研究
能力得分</t>
  </si>
  <si>
    <t>分析研究是否满足必备条件</t>
  </si>
  <si>
    <t>推广开发技术及解决问题得分</t>
  </si>
  <si>
    <t>推广开发是否满足必备条件</t>
  </si>
  <si>
    <t>指导学生参赛得分</t>
  </si>
  <si>
    <t>指导学生参赛
是否满足必备条件</t>
  </si>
  <si>
    <t>1+X 证书试点、考点项目建设得分</t>
  </si>
  <si>
    <t>1+X 证书试点、考点是否满足</t>
  </si>
  <si>
    <t>教学教研业绩成果
得分合计</t>
  </si>
  <si>
    <t>结果汇总</t>
  </si>
  <si>
    <t>基本条件
得分合计</t>
  </si>
  <si>
    <t>其他成绩附加
得分合计</t>
  </si>
  <si>
    <t>必备项是否满足</t>
  </si>
  <si>
    <t>可选必备项
满足项数量</t>
  </si>
  <si>
    <t>必备项不满足数量</t>
  </si>
  <si>
    <t>必备项满足数量</t>
  </si>
  <si>
    <t>可选必备项满足数量</t>
  </si>
  <si>
    <t>不满足条件情况数量</t>
  </si>
  <si>
    <t>是否具备申报资格</t>
  </si>
  <si>
    <t>总计得分：</t>
  </si>
  <si>
    <t>本人承诺</t>
  </si>
  <si>
    <t xml:space="preserve">       
        所填内容属实，如有虚报，本人愿承担所有后果。
                                     本  人（签名）：              年    月     日        </t>
  </si>
  <si>
    <t>所在部门（单位）审核意见</t>
  </si>
  <si>
    <t xml:space="preserve">        
        经查，该同志所填内容属实，佐证材料完备，同意申报。
         负责人（签名）：               公章
                                                                  年    月     日</t>
  </si>
  <si>
    <t>学校专业技术岗位等级晋升工作领导小组意见</t>
  </si>
  <si>
    <t xml:space="preserve">        负责人（签名）：               公章
                                                                  年    月     日</t>
  </si>
  <si>
    <t>大连职业技术学院（大连开放大学）专业技术职称评审量化赋分认定表（ 2023 年度）</t>
  </si>
  <si>
    <t>序号</t>
  </si>
  <si>
    <t>姓名</t>
  </si>
  <si>
    <t>性别</t>
  </si>
  <si>
    <t>现专业技术职称情况</t>
  </si>
  <si>
    <t>申报专业技术职称</t>
  </si>
  <si>
    <t>量化赋分结果汇总</t>
  </si>
  <si>
    <t>总计得分</t>
  </si>
  <si>
    <t>项目设计能力</t>
  </si>
  <si>
    <t>产教融合能力</t>
  </si>
  <si>
    <t>其他成绩附加</t>
  </si>
  <si>
    <t>服务专业领域</t>
  </si>
  <si>
    <t>服务行业企业</t>
  </si>
  <si>
    <t>实训项目</t>
  </si>
  <si>
    <t>产教融合项目</t>
  </si>
  <si>
    <t>专业建设</t>
  </si>
  <si>
    <t>国家级</t>
  </si>
  <si>
    <t>大型企业</t>
  </si>
  <si>
    <t>创新创业项目</t>
  </si>
  <si>
    <t>课程建设</t>
  </si>
  <si>
    <t>省级</t>
  </si>
  <si>
    <t>国家级行业协会</t>
  </si>
  <si>
    <t>个人荣誉</t>
  </si>
  <si>
    <t>市级</t>
  </si>
  <si>
    <t>中型企业</t>
  </si>
  <si>
    <t>校级</t>
  </si>
  <si>
    <t>省级行业协会</t>
  </si>
  <si>
    <t>团体荣誉</t>
  </si>
  <si>
    <t>小型企业</t>
  </si>
  <si>
    <t>工作项目荣誉</t>
  </si>
  <si>
    <t>市级行业协会</t>
  </si>
  <si>
    <t>素质教育类社团指导</t>
  </si>
  <si>
    <t>微型企业</t>
  </si>
  <si>
    <r>
      <rPr>
        <sz val="14"/>
        <rFont val="宋体"/>
        <charset val="134"/>
      </rPr>
      <t>学术论文或文章发表</t>
    </r>
  </si>
  <si>
    <t>著作、教材及教学（实验）标准</t>
  </si>
  <si>
    <t>教科研、党建、统战课题项目</t>
  </si>
  <si>
    <t>项目类型</t>
  </si>
  <si>
    <t>本人比赛获奖级别</t>
  </si>
  <si>
    <t>指导学生比赛获奖</t>
  </si>
  <si>
    <t>团队建设</t>
  </si>
  <si>
    <t>文化建设项目</t>
  </si>
  <si>
    <t>其他建设项目</t>
  </si>
  <si>
    <r>
      <rPr>
        <sz val="10.5"/>
        <rFont val="宋体"/>
        <charset val="134"/>
      </rPr>
      <t>工作项目荣誉</t>
    </r>
  </si>
  <si>
    <t>JA三大检索</t>
  </si>
  <si>
    <r>
      <rPr>
        <sz val="10.5"/>
        <rFont val="宋体"/>
        <charset val="134"/>
      </rPr>
      <t>普通教材</t>
    </r>
  </si>
  <si>
    <t>国家级成果奖</t>
  </si>
  <si>
    <t>世界技能大赛</t>
  </si>
  <si>
    <t>品牌（示范）专业</t>
  </si>
  <si>
    <t>课程案例</t>
  </si>
  <si>
    <t>教学团队</t>
  </si>
  <si>
    <t>教学名师</t>
  </si>
  <si>
    <t>学生团体荣誉</t>
  </si>
  <si>
    <t>文化建设</t>
  </si>
  <si>
    <t>实训项目建设</t>
  </si>
  <si>
    <t>教师党支部书记</t>
  </si>
  <si>
    <r>
      <rPr>
        <sz val="10.5"/>
        <rFont val="宋体"/>
        <charset val="134"/>
      </rPr>
      <t>社团指导教师</t>
    </r>
  </si>
  <si>
    <t>中文核心期刊</t>
  </si>
  <si>
    <r>
      <rPr>
        <sz val="10.5"/>
        <rFont val="宋体"/>
        <charset val="134"/>
      </rPr>
      <t>省级规划教材</t>
    </r>
  </si>
  <si>
    <t>省级成果奖</t>
  </si>
  <si>
    <t>双高专业群</t>
  </si>
  <si>
    <t>精品教材</t>
  </si>
  <si>
    <t>科研创新团队（平台）</t>
  </si>
  <si>
    <t>辅导员名师</t>
  </si>
  <si>
    <t>党组织荣誉</t>
  </si>
  <si>
    <t>党务工作项目荣誉</t>
  </si>
  <si>
    <t>CA三大检索</t>
  </si>
  <si>
    <t>市级成果奖</t>
  </si>
  <si>
    <t>卓越校专业群</t>
  </si>
  <si>
    <t>教材建设奖</t>
  </si>
  <si>
    <t>专业带头人</t>
  </si>
  <si>
    <t>学生工作项目</t>
  </si>
  <si>
    <t>国家开放大学成果奖</t>
  </si>
  <si>
    <t>国家开放大学</t>
  </si>
  <si>
    <t>五星级专业</t>
  </si>
  <si>
    <t>职业体验课</t>
  </si>
  <si>
    <t>学术带头人</t>
  </si>
  <si>
    <t>校级成果奖</t>
  </si>
  <si>
    <t>四星级专业</t>
  </si>
  <si>
    <t>技能大师</t>
  </si>
  <si>
    <t>主持资源库建设</t>
  </si>
  <si>
    <t>骨干教师</t>
  </si>
  <si>
    <t>参与资源库建设</t>
  </si>
  <si>
    <t>科研骨干</t>
  </si>
</sst>
</file>

<file path=xl/styles.xml><?xml version="1.0" encoding="utf-8"?>
<styleSheet xmlns="http://schemas.openxmlformats.org/spreadsheetml/2006/main" xmlns:xr9="http://schemas.microsoft.com/office/spreadsheetml/2016/revision9">
  <numFmts count="1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quot;年&quot;m&quot;月&quot;;@"/>
    <numFmt numFmtId="177" formatCode="0.00_ "/>
    <numFmt numFmtId="178" formatCode="[DBNum1][$-804]yyyy&quot;年&quot;m&quot;月&quot;;@"/>
    <numFmt numFmtId="179" formatCode="[=0]&quot;&quot;;General"/>
    <numFmt numFmtId="180" formatCode="0_ "/>
    <numFmt numFmtId="181" formatCode="[DBNum1][$-804]yyyy&quot;年&quot;m&quot;月&quot;d&quot;日&quot;;@"/>
    <numFmt numFmtId="182" formatCode="yyyy&quot;年&quot;m&quot;月&quot;d&quot;日&quot;;@"/>
    <numFmt numFmtId="183" formatCode="0_);[Red]\(0\)"/>
    <numFmt numFmtId="184" formatCode="0.00_);[Red]\(0.00\)"/>
    <numFmt numFmtId="185" formatCode="0.000_ "/>
    <numFmt numFmtId="186" formatCode="0.0_);[Red]\(0.0\)"/>
  </numFmts>
  <fonts count="51">
    <font>
      <sz val="12"/>
      <name val="宋体"/>
      <charset val="134"/>
    </font>
    <font>
      <sz val="14"/>
      <name val="宋体"/>
      <charset val="134"/>
    </font>
    <font>
      <sz val="10.5"/>
      <name val="宋体"/>
      <charset val="134"/>
    </font>
    <font>
      <sz val="9"/>
      <name val="宋体"/>
      <charset val="134"/>
    </font>
    <font>
      <sz val="10"/>
      <name val="宋体"/>
      <charset val="134"/>
    </font>
    <font>
      <b/>
      <sz val="9"/>
      <name val="楷体_GB2312"/>
      <charset val="134"/>
    </font>
    <font>
      <b/>
      <sz val="20"/>
      <name val="新宋体"/>
      <charset val="134"/>
    </font>
    <font>
      <sz val="12"/>
      <color theme="1"/>
      <name val="宋体"/>
      <charset val="134"/>
    </font>
    <font>
      <sz val="11"/>
      <color indexed="9"/>
      <name val="宋体"/>
      <charset val="134"/>
    </font>
    <font>
      <b/>
      <sz val="28"/>
      <name val="楷体_GB2312"/>
      <charset val="134"/>
    </font>
    <font>
      <b/>
      <u/>
      <sz val="18"/>
      <name val="宋体"/>
      <charset val="134"/>
    </font>
    <font>
      <sz val="24"/>
      <name val="华文中宋"/>
      <charset val="134"/>
    </font>
    <font>
      <b/>
      <sz val="16"/>
      <name val="楷体_GB2312"/>
      <charset val="134"/>
    </font>
    <font>
      <b/>
      <sz val="14"/>
      <name val="楷体_GB2312"/>
      <charset val="134"/>
    </font>
    <font>
      <b/>
      <sz val="15"/>
      <name val="楷体_GB2312"/>
      <charset val="134"/>
    </font>
    <font>
      <b/>
      <sz val="18"/>
      <name val="楷体_GB2312"/>
      <charset val="134"/>
    </font>
    <font>
      <b/>
      <sz val="10.5"/>
      <name val="楷体_GB2312"/>
      <charset val="134"/>
    </font>
    <font>
      <sz val="10.5"/>
      <name val="楷体_GB2312"/>
      <charset val="134"/>
    </font>
    <font>
      <b/>
      <sz val="12"/>
      <name val="宋体"/>
      <charset val="134"/>
    </font>
    <font>
      <b/>
      <sz val="18"/>
      <name val="宋体"/>
      <charset val="134"/>
    </font>
    <font>
      <b/>
      <sz val="11"/>
      <name val="楷体_GB2312"/>
      <charset val="134"/>
    </font>
    <font>
      <sz val="9"/>
      <name val="楷体_GB2312"/>
      <charset val="134"/>
    </font>
    <font>
      <b/>
      <sz val="11"/>
      <name val="宋体"/>
      <charset val="134"/>
    </font>
    <font>
      <sz val="11"/>
      <name val="宋体"/>
      <charset val="134"/>
    </font>
    <font>
      <sz val="14"/>
      <name val="仿宋_GB2312"/>
      <charset val="134"/>
    </font>
    <font>
      <sz val="11"/>
      <name val="楷体_GB2312"/>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10"/>
      <name val="宋体"/>
      <charset val="134"/>
    </font>
    <font>
      <b/>
      <sz val="9"/>
      <name val="宋体"/>
      <charset val="134"/>
    </font>
    <font>
      <sz val="9"/>
      <name val="宋体"/>
      <charset val="134"/>
    </font>
    <font>
      <b/>
      <sz val="9"/>
      <color indexed="10"/>
      <name val="宋体"/>
      <charset val="134"/>
    </font>
    <font>
      <sz val="9"/>
      <name val="Tahoma"/>
      <charset val="134"/>
    </font>
  </fonts>
  <fills count="40">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indexed="38"/>
        <bgColor indexed="64"/>
      </patternFill>
    </fill>
    <fill>
      <patternFill patternType="solid">
        <fgColor rgb="FFCCCCFF"/>
        <bgColor indexed="64"/>
      </patternFill>
    </fill>
    <fill>
      <patternFill patternType="solid">
        <fgColor indexed="31"/>
        <bgColor indexed="64"/>
      </patternFill>
    </fill>
    <fill>
      <patternFill patternType="solid">
        <fgColor theme="0" tint="-0.15"/>
        <bgColor indexed="64"/>
      </patternFill>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top style="thin">
        <color auto="1"/>
      </top>
      <bottom style="thin">
        <color auto="1"/>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26" fillId="0" borderId="0" applyFont="0" applyFill="0" applyBorder="0" applyAlignment="0" applyProtection="0">
      <alignment vertical="center"/>
    </xf>
    <xf numFmtId="44" fontId="26" fillId="0" borderId="0" applyFont="0" applyFill="0" applyBorder="0" applyAlignment="0" applyProtection="0">
      <alignment vertical="center"/>
    </xf>
    <xf numFmtId="9" fontId="26" fillId="0" borderId="0" applyFont="0" applyFill="0" applyBorder="0" applyAlignment="0" applyProtection="0">
      <alignment vertical="center"/>
    </xf>
    <xf numFmtId="41" fontId="26" fillId="0" borderId="0" applyFont="0" applyFill="0" applyBorder="0" applyAlignment="0" applyProtection="0">
      <alignment vertical="center"/>
    </xf>
    <xf numFmtId="42" fontId="26"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6" fillId="9" borderId="13" applyNumberFormat="0" applyFon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4" applyNumberFormat="0" applyFill="0" applyAlignment="0" applyProtection="0">
      <alignment vertical="center"/>
    </xf>
    <xf numFmtId="0" fontId="33" fillId="0" borderId="14" applyNumberFormat="0" applyFill="0" applyAlignment="0" applyProtection="0">
      <alignment vertical="center"/>
    </xf>
    <xf numFmtId="0" fontId="34" fillId="0" borderId="15" applyNumberFormat="0" applyFill="0" applyAlignment="0" applyProtection="0">
      <alignment vertical="center"/>
    </xf>
    <xf numFmtId="0" fontId="34" fillId="0" borderId="0" applyNumberFormat="0" applyFill="0" applyBorder="0" applyAlignment="0" applyProtection="0">
      <alignment vertical="center"/>
    </xf>
    <xf numFmtId="0" fontId="35" fillId="10" borderId="16" applyNumberFormat="0" applyAlignment="0" applyProtection="0">
      <alignment vertical="center"/>
    </xf>
    <xf numFmtId="0" fontId="36" fillId="11" borderId="17" applyNumberFormat="0" applyAlignment="0" applyProtection="0">
      <alignment vertical="center"/>
    </xf>
    <xf numFmtId="0" fontId="37" fillId="11" borderId="16" applyNumberFormat="0" applyAlignment="0" applyProtection="0">
      <alignment vertical="center"/>
    </xf>
    <xf numFmtId="0" fontId="38" fillId="12" borderId="18" applyNumberFormat="0" applyAlignment="0" applyProtection="0">
      <alignment vertical="center"/>
    </xf>
    <xf numFmtId="0" fontId="39" fillId="0" borderId="19" applyNumberFormat="0" applyFill="0" applyAlignment="0" applyProtection="0">
      <alignment vertical="center"/>
    </xf>
    <xf numFmtId="0" fontId="40" fillId="0" borderId="20" applyNumberFormat="0" applyFill="0" applyAlignment="0" applyProtection="0">
      <alignment vertical="center"/>
    </xf>
    <xf numFmtId="0" fontId="41" fillId="13" borderId="0" applyNumberFormat="0" applyBorder="0" applyAlignment="0" applyProtection="0">
      <alignment vertical="center"/>
    </xf>
    <xf numFmtId="0" fontId="42" fillId="14" borderId="0" applyNumberFormat="0" applyBorder="0" applyAlignment="0" applyProtection="0">
      <alignment vertical="center"/>
    </xf>
    <xf numFmtId="0" fontId="43" fillId="15" borderId="0" applyNumberFormat="0" applyBorder="0" applyAlignment="0" applyProtection="0">
      <alignment vertical="center"/>
    </xf>
    <xf numFmtId="0" fontId="44" fillId="16" borderId="0" applyNumberFormat="0" applyBorder="0" applyAlignment="0" applyProtection="0">
      <alignment vertical="center"/>
    </xf>
    <xf numFmtId="0" fontId="45" fillId="17" borderId="0" applyNumberFormat="0" applyBorder="0" applyAlignment="0" applyProtection="0">
      <alignment vertical="center"/>
    </xf>
    <xf numFmtId="0" fontId="45"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5" fillId="21" borderId="0" applyNumberFormat="0" applyBorder="0" applyAlignment="0" applyProtection="0">
      <alignment vertical="center"/>
    </xf>
    <xf numFmtId="0" fontId="45"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5" fillId="25" borderId="0" applyNumberFormat="0" applyBorder="0" applyAlignment="0" applyProtection="0">
      <alignment vertical="center"/>
    </xf>
    <xf numFmtId="0" fontId="45"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5" fillId="29" borderId="0" applyNumberFormat="0" applyBorder="0" applyAlignment="0" applyProtection="0">
      <alignment vertical="center"/>
    </xf>
    <xf numFmtId="0" fontId="45"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5" fillId="33" borderId="0" applyNumberFormat="0" applyBorder="0" applyAlignment="0" applyProtection="0">
      <alignment vertical="center"/>
    </xf>
    <xf numFmtId="0" fontId="45" fillId="34" borderId="0" applyNumberFormat="0" applyBorder="0" applyAlignment="0" applyProtection="0">
      <alignment vertical="center"/>
    </xf>
    <xf numFmtId="0" fontId="44" fillId="35" borderId="0" applyNumberFormat="0" applyBorder="0" applyAlignment="0" applyProtection="0">
      <alignment vertical="center"/>
    </xf>
    <xf numFmtId="0" fontId="44" fillId="36" borderId="0" applyNumberFormat="0" applyBorder="0" applyAlignment="0" applyProtection="0">
      <alignment vertical="center"/>
    </xf>
    <xf numFmtId="0" fontId="45" fillId="37" borderId="0" applyNumberFormat="0" applyBorder="0" applyAlignment="0" applyProtection="0">
      <alignment vertical="center"/>
    </xf>
    <xf numFmtId="0" fontId="45" fillId="38" borderId="0" applyNumberFormat="0" applyBorder="0" applyAlignment="0" applyProtection="0">
      <alignment vertical="center"/>
    </xf>
    <xf numFmtId="0" fontId="44" fillId="39" borderId="0" applyNumberFormat="0" applyBorder="0" applyAlignment="0" applyProtection="0">
      <alignment vertical="center"/>
    </xf>
    <xf numFmtId="14" fontId="0" fillId="0" borderId="0">
      <alignment vertical="center"/>
    </xf>
    <xf numFmtId="0" fontId="0" fillId="0" borderId="0">
      <alignment vertical="center"/>
    </xf>
    <xf numFmtId="0" fontId="0" fillId="0" borderId="0">
      <alignment vertical="center"/>
    </xf>
  </cellStyleXfs>
  <cellXfs count="254">
    <xf numFmtId="0" fontId="0" fillId="0" borderId="0" xfId="0">
      <alignment vertical="center"/>
    </xf>
    <xf numFmtId="0" fontId="1" fillId="0" borderId="1" xfId="0" applyFont="1" applyBorder="1" applyAlignment="1">
      <alignment horizontal="justify" vertical="center"/>
    </xf>
    <xf numFmtId="0" fontId="0" fillId="0" borderId="2" xfId="0" applyBorder="1">
      <alignment vertical="center"/>
    </xf>
    <xf numFmtId="0" fontId="0" fillId="0" borderId="2" xfId="0" applyBorder="1" applyAlignment="1">
      <alignment horizontal="center" vertical="center"/>
    </xf>
    <xf numFmtId="0" fontId="0" fillId="0" borderId="1" xfId="0"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center" vertical="center"/>
    </xf>
    <xf numFmtId="0" fontId="3" fillId="0" borderId="0" xfId="0" applyFont="1" applyAlignment="1">
      <alignment horizontal="center" wrapText="1"/>
    </xf>
    <xf numFmtId="0" fontId="4" fillId="0" borderId="0" xfId="0" applyFont="1" applyAlignment="1">
      <alignment horizontal="center" vertical="center" wrapText="1"/>
    </xf>
    <xf numFmtId="0" fontId="5" fillId="0" borderId="0" xfId="0" applyFont="1" applyAlignment="1" applyProtection="1">
      <alignment horizontal="center" vertical="center" wrapText="1"/>
      <protection hidden="1"/>
    </xf>
    <xf numFmtId="0" fontId="4" fillId="0" borderId="0" xfId="0" applyFont="1" applyAlignment="1">
      <alignment horizontal="center" wrapText="1"/>
    </xf>
    <xf numFmtId="0" fontId="6" fillId="0" borderId="0" xfId="0" applyFont="1" applyBorder="1" applyAlignment="1" applyProtection="1">
      <alignment horizontal="center" vertical="center" wrapText="1"/>
      <protection hidden="1"/>
    </xf>
    <xf numFmtId="0" fontId="4" fillId="0" borderId="2" xfId="0" applyFont="1" applyBorder="1" applyAlignment="1" applyProtection="1">
      <alignment horizontal="center" vertical="center" wrapText="1"/>
      <protection hidden="1"/>
    </xf>
    <xf numFmtId="0" fontId="4" fillId="0" borderId="3" xfId="0" applyFont="1" applyBorder="1" applyAlignment="1" applyProtection="1">
      <alignment horizontal="center" vertical="center" wrapText="1"/>
      <protection hidden="1"/>
    </xf>
    <xf numFmtId="0" fontId="4" fillId="0" borderId="4" xfId="0" applyFont="1" applyBorder="1" applyAlignment="1" applyProtection="1">
      <alignment horizontal="center" vertical="center" wrapText="1"/>
      <protection hidden="1"/>
    </xf>
    <xf numFmtId="0" fontId="5" fillId="0" borderId="2" xfId="0" applyFont="1" applyBorder="1" applyAlignment="1" applyProtection="1">
      <alignment horizontal="center" vertical="center" wrapText="1"/>
      <protection hidden="1"/>
    </xf>
    <xf numFmtId="176" fontId="5" fillId="0" borderId="2" xfId="0" applyNumberFormat="1" applyFont="1" applyBorder="1" applyAlignment="1" applyProtection="1">
      <alignment horizontal="center" vertical="center" wrapText="1"/>
      <protection hidden="1"/>
    </xf>
    <xf numFmtId="0" fontId="5" fillId="0" borderId="2" xfId="0" applyNumberFormat="1" applyFont="1" applyBorder="1" applyAlignment="1" applyProtection="1">
      <alignment horizontal="center" vertical="center" wrapText="1"/>
      <protection hidden="1"/>
    </xf>
    <xf numFmtId="0" fontId="3" fillId="0" borderId="0" xfId="0" applyFont="1" applyAlignment="1" applyProtection="1">
      <alignment horizontal="center" wrapText="1"/>
      <protection hidden="1"/>
    </xf>
    <xf numFmtId="0" fontId="0" fillId="0" borderId="0" xfId="0" applyAlignment="1" applyProtection="1">
      <alignment horizontal="center" vertical="center" wrapText="1"/>
      <protection hidden="1"/>
    </xf>
    <xf numFmtId="0" fontId="4" fillId="0" borderId="5" xfId="0" applyFont="1" applyBorder="1" applyAlignment="1" applyProtection="1">
      <alignment horizontal="center" vertical="center" wrapText="1"/>
      <protection hidden="1"/>
    </xf>
    <xf numFmtId="0" fontId="4" fillId="0" borderId="6" xfId="0" applyFont="1" applyBorder="1" applyAlignment="1" applyProtection="1">
      <alignment horizontal="center" vertical="center" wrapText="1"/>
      <protection hidden="1"/>
    </xf>
    <xf numFmtId="0" fontId="4" fillId="0" borderId="7" xfId="0" applyFont="1" applyBorder="1" applyAlignment="1" applyProtection="1">
      <alignment horizontal="center" vertical="center" wrapText="1"/>
      <protection hidden="1"/>
    </xf>
    <xf numFmtId="177" fontId="5" fillId="0" borderId="2" xfId="0" applyNumberFormat="1" applyFont="1" applyBorder="1" applyAlignment="1" applyProtection="1">
      <alignment horizontal="center" vertical="center" wrapText="1"/>
      <protection hidden="1"/>
    </xf>
    <xf numFmtId="0" fontId="0" fillId="0" borderId="2" xfId="0" applyFill="1" applyBorder="1" applyProtection="1">
      <alignment vertical="center"/>
      <protection hidden="1"/>
    </xf>
    <xf numFmtId="0" fontId="0" fillId="0" borderId="0" xfId="0" applyFill="1" applyBorder="1" applyProtection="1">
      <alignment vertical="center"/>
      <protection locked="0" hidden="1"/>
    </xf>
    <xf numFmtId="0" fontId="0" fillId="0" borderId="6" xfId="0" applyFill="1" applyBorder="1" applyProtection="1">
      <alignment vertical="center"/>
      <protection locked="0" hidden="1"/>
    </xf>
    <xf numFmtId="0" fontId="0" fillId="0" borderId="2" xfId="0" applyFill="1" applyBorder="1" applyProtection="1">
      <alignment vertical="center"/>
      <protection locked="0" hidden="1"/>
    </xf>
    <xf numFmtId="0" fontId="7" fillId="2" borderId="2" xfId="0" applyFont="1" applyFill="1" applyBorder="1" applyProtection="1">
      <alignment vertical="center"/>
      <protection locked="0" hidden="1"/>
    </xf>
    <xf numFmtId="0" fontId="7" fillId="2" borderId="2" xfId="0" applyFont="1" applyFill="1" applyBorder="1" applyAlignment="1" applyProtection="1">
      <alignment horizontal="center" vertical="center"/>
      <protection locked="0" hidden="1"/>
    </xf>
    <xf numFmtId="0" fontId="7" fillId="2" borderId="1" xfId="0" applyFont="1" applyFill="1" applyBorder="1" applyProtection="1">
      <alignment vertical="center"/>
      <protection locked="0" hidden="1"/>
    </xf>
    <xf numFmtId="0" fontId="0" fillId="0" borderId="0" xfId="0" applyFill="1" applyBorder="1" applyProtection="1">
      <alignment vertical="center"/>
      <protection hidden="1"/>
    </xf>
    <xf numFmtId="0" fontId="0" fillId="3" borderId="0" xfId="0" applyFill="1" applyBorder="1" applyProtection="1">
      <alignment vertical="center"/>
      <protection locked="0" hidden="1"/>
    </xf>
    <xf numFmtId="0" fontId="8" fillId="4" borderId="0" xfId="0" applyFont="1" applyFill="1" applyBorder="1" applyAlignment="1" applyProtection="1">
      <alignment horizontal="left" vertical="center"/>
      <protection hidden="1"/>
    </xf>
    <xf numFmtId="0" fontId="8" fillId="4" borderId="0" xfId="0" applyFont="1" applyFill="1" applyBorder="1" applyAlignment="1" applyProtection="1">
      <alignment vertical="center"/>
      <protection hidden="1"/>
    </xf>
    <xf numFmtId="0" fontId="0" fillId="5" borderId="0" xfId="0" applyFill="1" applyBorder="1" applyProtection="1">
      <alignment vertical="center"/>
      <protection hidden="1"/>
    </xf>
    <xf numFmtId="0" fontId="9" fillId="5" borderId="0" xfId="0" applyFont="1" applyFill="1" applyBorder="1" applyAlignment="1" applyProtection="1">
      <alignment horizontal="center" vertical="center" wrapText="1"/>
      <protection hidden="1"/>
    </xf>
    <xf numFmtId="0" fontId="10" fillId="5" borderId="0" xfId="0" applyFont="1" applyFill="1" applyBorder="1" applyAlignment="1" applyProtection="1">
      <alignment vertical="center"/>
      <protection hidden="1"/>
    </xf>
    <xf numFmtId="0" fontId="10" fillId="2" borderId="8" xfId="0" applyFont="1" applyFill="1" applyBorder="1" applyAlignment="1" applyProtection="1">
      <alignment horizontal="center" vertical="center"/>
      <protection locked="0" hidden="1"/>
    </xf>
    <xf numFmtId="0" fontId="0" fillId="5" borderId="0" xfId="0" applyFill="1" applyBorder="1" applyAlignment="1" applyProtection="1">
      <alignment vertical="center"/>
      <protection hidden="1"/>
    </xf>
    <xf numFmtId="0" fontId="11" fillId="5" borderId="0" xfId="0" applyFont="1" applyFill="1" applyBorder="1" applyAlignment="1" applyProtection="1">
      <alignment horizontal="center" vertical="center"/>
      <protection hidden="1"/>
    </xf>
    <xf numFmtId="0" fontId="12" fillId="5" borderId="0" xfId="0" applyFont="1" applyFill="1" applyBorder="1" applyAlignment="1" applyProtection="1">
      <protection hidden="1"/>
    </xf>
    <xf numFmtId="0" fontId="12" fillId="5" borderId="0" xfId="0" applyFont="1" applyFill="1" applyBorder="1" applyAlignment="1" applyProtection="1">
      <alignment horizontal="distributed"/>
      <protection hidden="1"/>
    </xf>
    <xf numFmtId="0" fontId="13" fillId="2" borderId="8" xfId="0" applyFont="1" applyFill="1" applyBorder="1" applyAlignment="1" applyProtection="1">
      <alignment horizontal="center" shrinkToFit="1"/>
      <protection locked="0" hidden="1"/>
    </xf>
    <xf numFmtId="0" fontId="14" fillId="5" borderId="0" xfId="0" applyFont="1" applyFill="1" applyBorder="1" applyAlignment="1" applyProtection="1">
      <protection hidden="1"/>
    </xf>
    <xf numFmtId="0" fontId="14" fillId="5" borderId="0" xfId="0" applyFont="1" applyFill="1" applyBorder="1" applyAlignment="1" applyProtection="1">
      <alignment horizontal="distributed"/>
      <protection hidden="1"/>
    </xf>
    <xf numFmtId="0" fontId="14" fillId="5" borderId="8" xfId="0" applyFont="1" applyFill="1" applyBorder="1" applyAlignment="1" applyProtection="1">
      <alignment horizontal="center"/>
      <protection hidden="1"/>
    </xf>
    <xf numFmtId="57" fontId="13" fillId="2" borderId="8" xfId="0" applyNumberFormat="1" applyFont="1" applyFill="1" applyBorder="1" applyAlignment="1" applyProtection="1">
      <alignment horizontal="center" shrinkToFit="1"/>
      <protection locked="0" hidden="1"/>
    </xf>
    <xf numFmtId="178" fontId="13" fillId="5" borderId="0" xfId="0" applyNumberFormat="1" applyFont="1" applyFill="1" applyBorder="1" applyAlignment="1" applyProtection="1">
      <alignment shrinkToFit="1"/>
      <protection hidden="1"/>
    </xf>
    <xf numFmtId="0" fontId="0" fillId="5" borderId="0" xfId="0" applyFill="1" applyBorder="1" applyAlignment="1" applyProtection="1">
      <alignment horizontal="center" vertical="center"/>
      <protection hidden="1"/>
    </xf>
    <xf numFmtId="0" fontId="12" fillId="5" borderId="0" xfId="0" applyFont="1" applyFill="1" applyBorder="1" applyAlignment="1" applyProtection="1">
      <alignment horizontal="center"/>
      <protection hidden="1"/>
    </xf>
    <xf numFmtId="178" fontId="13" fillId="5" borderId="0" xfId="0" applyNumberFormat="1" applyFont="1" applyFill="1" applyBorder="1" applyAlignment="1" applyProtection="1">
      <alignment horizontal="center" shrinkToFit="1"/>
      <protection hidden="1"/>
    </xf>
    <xf numFmtId="0" fontId="15" fillId="5" borderId="0" xfId="0" applyFont="1" applyFill="1" applyBorder="1" applyAlignment="1" applyProtection="1">
      <alignment horizontal="center"/>
      <protection hidden="1"/>
    </xf>
    <xf numFmtId="0" fontId="2" fillId="2" borderId="0" xfId="0" applyFont="1" applyFill="1" applyBorder="1" applyAlignment="1" applyProtection="1">
      <alignment horizontal="center" vertical="center" wrapText="1"/>
      <protection locked="0" hidden="1"/>
    </xf>
    <xf numFmtId="179" fontId="16" fillId="2" borderId="0" xfId="0" applyNumberFormat="1" applyFont="1" applyFill="1" applyBorder="1" applyAlignment="1" applyProtection="1">
      <alignment horizontal="center" vertical="center" wrapText="1"/>
      <protection locked="0" hidden="1"/>
    </xf>
    <xf numFmtId="0" fontId="16" fillId="2" borderId="0" xfId="0" applyFont="1" applyFill="1" applyBorder="1" applyAlignment="1" applyProtection="1">
      <alignment horizontal="center" vertical="center" shrinkToFit="1"/>
      <protection locked="0" hidden="1"/>
    </xf>
    <xf numFmtId="176" fontId="16" fillId="2" borderId="0" xfId="0" applyNumberFormat="1" applyFont="1" applyFill="1" applyBorder="1" applyAlignment="1" applyProtection="1">
      <alignment horizontal="center" vertical="center" shrinkToFit="1"/>
      <protection locked="0" hidden="1"/>
    </xf>
    <xf numFmtId="0" fontId="2" fillId="6" borderId="2" xfId="0" applyFont="1" applyFill="1" applyBorder="1" applyAlignment="1" applyProtection="1">
      <alignment horizontal="center" vertical="center" shrinkToFit="1"/>
      <protection hidden="1"/>
    </xf>
    <xf numFmtId="179" fontId="2" fillId="6" borderId="1" xfId="0" applyNumberFormat="1" applyFont="1" applyFill="1" applyBorder="1" applyAlignment="1" applyProtection="1">
      <alignment horizontal="center" vertical="center" shrinkToFit="1"/>
      <protection hidden="1"/>
    </xf>
    <xf numFmtId="179" fontId="2" fillId="6" borderId="6" xfId="0" applyNumberFormat="1" applyFont="1" applyFill="1" applyBorder="1" applyAlignment="1" applyProtection="1">
      <alignment horizontal="center" vertical="center" shrinkToFit="1"/>
      <protection hidden="1"/>
    </xf>
    <xf numFmtId="0" fontId="17" fillId="2" borderId="1" xfId="0" applyFont="1" applyFill="1" applyBorder="1" applyAlignment="1" applyProtection="1">
      <alignment horizontal="center" vertical="center" shrinkToFit="1"/>
      <protection locked="0" hidden="1"/>
    </xf>
    <xf numFmtId="0" fontId="17" fillId="2" borderId="6" xfId="0" applyFont="1" applyFill="1" applyBorder="1" applyAlignment="1" applyProtection="1">
      <alignment horizontal="center" vertical="center" shrinkToFit="1"/>
      <protection locked="0" hidden="1"/>
    </xf>
    <xf numFmtId="0" fontId="2" fillId="6" borderId="1" xfId="0" applyFont="1" applyFill="1" applyBorder="1" applyAlignment="1" applyProtection="1">
      <alignment horizontal="center" vertical="center" wrapText="1" shrinkToFit="1"/>
      <protection hidden="1"/>
    </xf>
    <xf numFmtId="0" fontId="2" fillId="6" borderId="2" xfId="0" applyFont="1" applyFill="1" applyBorder="1" applyAlignment="1" applyProtection="1">
      <alignment horizontal="center" vertical="center" wrapText="1" shrinkToFit="1"/>
      <protection hidden="1"/>
    </xf>
    <xf numFmtId="0" fontId="17" fillId="2" borderId="9" xfId="0" applyFont="1" applyFill="1" applyBorder="1" applyAlignment="1" applyProtection="1">
      <alignment horizontal="center" vertical="center" shrinkToFit="1"/>
      <protection locked="0" hidden="1"/>
    </xf>
    <xf numFmtId="57" fontId="2" fillId="2" borderId="5" xfId="0" applyNumberFormat="1" applyFont="1" applyFill="1" applyBorder="1" applyAlignment="1" applyProtection="1">
      <alignment horizontal="center" vertical="center" wrapText="1"/>
      <protection locked="0" hidden="1"/>
    </xf>
    <xf numFmtId="0" fontId="2" fillId="6" borderId="6" xfId="0" applyFont="1" applyFill="1" applyBorder="1" applyAlignment="1" applyProtection="1">
      <alignment horizontal="center" vertical="center" wrapText="1" shrinkToFit="1"/>
      <protection hidden="1"/>
    </xf>
    <xf numFmtId="57" fontId="17" fillId="2" borderId="2" xfId="0" applyNumberFormat="1" applyFont="1" applyFill="1" applyBorder="1" applyAlignment="1" applyProtection="1">
      <alignment horizontal="center" vertical="center" shrinkToFit="1"/>
      <protection locked="0" hidden="1"/>
    </xf>
    <xf numFmtId="0" fontId="17" fillId="2" borderId="2" xfId="0" applyFont="1" applyFill="1" applyBorder="1" applyAlignment="1" applyProtection="1">
      <alignment horizontal="center" vertical="center" shrinkToFit="1"/>
      <protection locked="0" hidden="1"/>
    </xf>
    <xf numFmtId="0" fontId="2" fillId="6" borderId="9" xfId="0" applyFont="1" applyFill="1" applyBorder="1" applyAlignment="1" applyProtection="1">
      <alignment horizontal="right" vertical="center" shrinkToFit="1"/>
      <protection hidden="1"/>
    </xf>
    <xf numFmtId="57" fontId="2" fillId="2" borderId="1" xfId="0" applyNumberFormat="1" applyFont="1" applyFill="1" applyBorder="1" applyAlignment="1" applyProtection="1">
      <alignment horizontal="center" vertical="center" wrapText="1"/>
      <protection locked="0" hidden="1"/>
    </xf>
    <xf numFmtId="57" fontId="2" fillId="2" borderId="9" xfId="0" applyNumberFormat="1" applyFont="1" applyFill="1" applyBorder="1" applyAlignment="1" applyProtection="1">
      <alignment horizontal="center" vertical="center" wrapText="1"/>
      <protection locked="0" hidden="1"/>
    </xf>
    <xf numFmtId="57" fontId="2" fillId="2" borderId="6" xfId="0" applyNumberFormat="1" applyFont="1" applyFill="1" applyBorder="1" applyAlignment="1" applyProtection="1">
      <alignment horizontal="center" vertical="center" wrapText="1"/>
      <protection locked="0" hidden="1"/>
    </xf>
    <xf numFmtId="0" fontId="18" fillId="6" borderId="2" xfId="0" applyFont="1" applyFill="1" applyBorder="1" applyAlignment="1" applyProtection="1">
      <alignment horizontal="center" vertical="center" wrapText="1"/>
      <protection hidden="1"/>
    </xf>
    <xf numFmtId="0" fontId="2" fillId="6" borderId="1" xfId="0" applyFont="1" applyFill="1" applyBorder="1" applyAlignment="1" applyProtection="1">
      <alignment horizontal="center" vertical="center" shrinkToFit="1"/>
      <protection hidden="1"/>
    </xf>
    <xf numFmtId="0" fontId="2" fillId="6" borderId="9" xfId="0" applyFont="1" applyFill="1" applyBorder="1" applyAlignment="1" applyProtection="1">
      <alignment horizontal="center" vertical="center" shrinkToFit="1"/>
      <protection hidden="1"/>
    </xf>
    <xf numFmtId="0" fontId="2" fillId="6" borderId="6" xfId="0" applyFont="1" applyFill="1" applyBorder="1" applyAlignment="1" applyProtection="1">
      <alignment horizontal="center" vertical="center" shrinkToFit="1"/>
      <protection hidden="1"/>
    </xf>
    <xf numFmtId="49" fontId="17" fillId="2" borderId="1" xfId="0" applyNumberFormat="1" applyFont="1" applyFill="1" applyBorder="1" applyAlignment="1" applyProtection="1">
      <alignment horizontal="center" vertical="center" wrapText="1" shrinkToFit="1"/>
      <protection locked="0" hidden="1"/>
    </xf>
    <xf numFmtId="49" fontId="17" fillId="2" borderId="9" xfId="0" applyNumberFormat="1" applyFont="1" applyFill="1" applyBorder="1" applyAlignment="1" applyProtection="1">
      <alignment horizontal="center" vertical="center" wrapText="1" shrinkToFit="1"/>
      <protection locked="0" hidden="1"/>
    </xf>
    <xf numFmtId="49" fontId="17" fillId="2" borderId="6" xfId="0" applyNumberFormat="1" applyFont="1" applyFill="1" applyBorder="1" applyAlignment="1" applyProtection="1">
      <alignment horizontal="center" vertical="center" wrapText="1" shrinkToFit="1"/>
      <protection locked="0" hidden="1"/>
    </xf>
    <xf numFmtId="0" fontId="2" fillId="6" borderId="1" xfId="0" applyFont="1" applyFill="1" applyBorder="1" applyAlignment="1" applyProtection="1">
      <alignment horizontal="center" vertical="center"/>
      <protection hidden="1"/>
    </xf>
    <xf numFmtId="0" fontId="2" fillId="6" borderId="9" xfId="0" applyFont="1" applyFill="1" applyBorder="1" applyAlignment="1" applyProtection="1">
      <alignment horizontal="center" vertical="center"/>
      <protection hidden="1"/>
    </xf>
    <xf numFmtId="0" fontId="4" fillId="6" borderId="2" xfId="0" applyFont="1" applyFill="1" applyBorder="1" applyAlignment="1" applyProtection="1">
      <alignment vertical="center"/>
      <protection hidden="1"/>
    </xf>
    <xf numFmtId="0" fontId="2" fillId="6" borderId="6" xfId="0" applyFont="1" applyFill="1" applyBorder="1" applyAlignment="1" applyProtection="1">
      <alignment vertical="center"/>
      <protection hidden="1"/>
    </xf>
    <xf numFmtId="180" fontId="16" fillId="2" borderId="1" xfId="0" applyNumberFormat="1" applyFont="1" applyFill="1" applyBorder="1" applyAlignment="1" applyProtection="1">
      <alignment horizontal="center" vertical="center" shrinkToFit="1"/>
      <protection locked="0" hidden="1"/>
    </xf>
    <xf numFmtId="180" fontId="16" fillId="2" borderId="6" xfId="0" applyNumberFormat="1" applyFont="1" applyFill="1" applyBorder="1" applyAlignment="1" applyProtection="1">
      <alignment horizontal="center" vertical="center" shrinkToFit="1"/>
      <protection locked="0" hidden="1"/>
    </xf>
    <xf numFmtId="180" fontId="16" fillId="2" borderId="2" xfId="0" applyNumberFormat="1" applyFont="1" applyFill="1" applyBorder="1" applyAlignment="1" applyProtection="1">
      <alignment horizontal="center" vertical="center" shrinkToFit="1"/>
      <protection locked="0" hidden="1"/>
    </xf>
    <xf numFmtId="0" fontId="2" fillId="6" borderId="6" xfId="0" applyFont="1" applyFill="1" applyBorder="1" applyAlignment="1" applyProtection="1">
      <alignment horizontal="center" vertical="center"/>
      <protection hidden="1"/>
    </xf>
    <xf numFmtId="180" fontId="16" fillId="2" borderId="9" xfId="0" applyNumberFormat="1" applyFont="1" applyFill="1" applyBorder="1" applyAlignment="1" applyProtection="1">
      <alignment horizontal="center" vertical="center" shrinkToFit="1"/>
      <protection locked="0" hidden="1"/>
    </xf>
    <xf numFmtId="0" fontId="2" fillId="6" borderId="2" xfId="0" applyFont="1" applyFill="1" applyBorder="1" applyAlignment="1" applyProtection="1">
      <alignment horizontal="center" vertical="center" wrapText="1"/>
      <protection hidden="1"/>
    </xf>
    <xf numFmtId="0" fontId="2" fillId="6" borderId="1" xfId="0" applyFont="1" applyFill="1" applyBorder="1" applyAlignment="1" applyProtection="1">
      <alignment horizontal="center" vertical="center" wrapText="1"/>
      <protection hidden="1"/>
    </xf>
    <xf numFmtId="0" fontId="2" fillId="6" borderId="6" xfId="0" applyFont="1" applyFill="1" applyBorder="1" applyAlignment="1" applyProtection="1">
      <alignment horizontal="center" vertical="center" wrapText="1"/>
      <protection hidden="1"/>
    </xf>
    <xf numFmtId="180" fontId="17" fillId="2" borderId="1" xfId="0" applyNumberFormat="1" applyFont="1" applyFill="1" applyBorder="1" applyAlignment="1" applyProtection="1">
      <alignment horizontal="center" vertical="center" shrinkToFit="1"/>
      <protection locked="0" hidden="1"/>
    </xf>
    <xf numFmtId="180" fontId="17" fillId="2" borderId="6" xfId="0" applyNumberFormat="1" applyFont="1" applyFill="1" applyBorder="1" applyAlignment="1" applyProtection="1">
      <alignment horizontal="center" vertical="center" shrinkToFit="1"/>
      <protection locked="0" hidden="1"/>
    </xf>
    <xf numFmtId="0" fontId="2" fillId="6" borderId="3" xfId="0" applyFont="1" applyFill="1" applyBorder="1" applyAlignment="1" applyProtection="1">
      <alignment horizontal="center" vertical="center" wrapText="1" shrinkToFit="1"/>
      <protection hidden="1"/>
    </xf>
    <xf numFmtId="0" fontId="2" fillId="6" borderId="10" xfId="0" applyFont="1" applyFill="1" applyBorder="1" applyAlignment="1" applyProtection="1">
      <alignment horizontal="center" vertical="center" wrapText="1" shrinkToFit="1"/>
      <protection hidden="1"/>
    </xf>
    <xf numFmtId="180" fontId="17" fillId="2" borderId="9" xfId="0" applyNumberFormat="1" applyFont="1" applyFill="1" applyBorder="1" applyAlignment="1" applyProtection="1">
      <alignment horizontal="center" vertical="center" shrinkToFit="1"/>
      <protection locked="0" hidden="1"/>
    </xf>
    <xf numFmtId="0" fontId="7" fillId="2" borderId="6" xfId="0" applyFont="1" applyFill="1" applyBorder="1" applyProtection="1">
      <alignment vertical="center"/>
      <protection locked="0" hidden="1"/>
    </xf>
    <xf numFmtId="0" fontId="7" fillId="5" borderId="0" xfId="0" applyFont="1" applyFill="1" applyBorder="1" applyProtection="1">
      <alignment vertical="center"/>
      <protection hidden="1"/>
    </xf>
    <xf numFmtId="0" fontId="7" fillId="2" borderId="11" xfId="0" applyFont="1" applyFill="1" applyBorder="1" applyProtection="1">
      <alignment vertical="center"/>
      <protection locked="0" hidden="1"/>
    </xf>
    <xf numFmtId="0" fontId="7" fillId="2" borderId="0" xfId="0" applyFont="1" applyFill="1" applyBorder="1" applyProtection="1">
      <alignment vertical="center"/>
      <protection locked="0" hidden="1"/>
    </xf>
    <xf numFmtId="0" fontId="7" fillId="2" borderId="12" xfId="0" applyFont="1" applyFill="1" applyBorder="1" applyProtection="1">
      <alignment vertical="center"/>
      <protection locked="0" hidden="1"/>
    </xf>
    <xf numFmtId="0" fontId="19" fillId="5" borderId="0" xfId="0" applyFont="1" applyFill="1" applyAlignment="1" applyProtection="1">
      <alignment horizontal="left" vertical="center"/>
      <protection hidden="1"/>
    </xf>
    <xf numFmtId="0" fontId="7" fillId="5" borderId="0" xfId="0" applyFont="1" applyFill="1" applyBorder="1" applyAlignment="1" applyProtection="1">
      <alignment vertical="center"/>
      <protection hidden="1"/>
    </xf>
    <xf numFmtId="178" fontId="13" fillId="5" borderId="0" xfId="0" applyNumberFormat="1" applyFont="1" applyFill="1" applyBorder="1" applyAlignment="1" applyProtection="1">
      <alignment vertical="center" shrinkToFit="1"/>
      <protection hidden="1"/>
    </xf>
    <xf numFmtId="181" fontId="13" fillId="5" borderId="0" xfId="0" applyNumberFormat="1" applyFont="1" applyFill="1" applyBorder="1" applyAlignment="1" applyProtection="1">
      <alignment vertical="center" shrinkToFit="1"/>
      <protection hidden="1"/>
    </xf>
    <xf numFmtId="181" fontId="13" fillId="5" borderId="0" xfId="0" applyNumberFormat="1" applyFont="1" applyFill="1" applyBorder="1" applyAlignment="1" applyProtection="1">
      <alignment horizontal="center" vertical="center" shrinkToFit="1"/>
      <protection hidden="1"/>
    </xf>
    <xf numFmtId="57" fontId="2" fillId="2" borderId="0" xfId="0" applyNumberFormat="1" applyFont="1" applyFill="1" applyBorder="1" applyAlignment="1" applyProtection="1">
      <alignment horizontal="center" vertical="center" wrapText="1"/>
      <protection locked="0" hidden="1"/>
    </xf>
    <xf numFmtId="180" fontId="20" fillId="2" borderId="0" xfId="0" applyNumberFormat="1" applyFont="1" applyFill="1" applyBorder="1" applyAlignment="1" applyProtection="1">
      <alignment horizontal="center" vertical="center"/>
      <protection locked="0" hidden="1"/>
    </xf>
    <xf numFmtId="0" fontId="20" fillId="2" borderId="0" xfId="0" applyFont="1" applyFill="1" applyBorder="1" applyAlignment="1" applyProtection="1">
      <alignment horizontal="left" vertical="center"/>
      <protection locked="0" hidden="1"/>
    </xf>
    <xf numFmtId="182" fontId="17" fillId="2" borderId="2" xfId="0" applyNumberFormat="1" applyFont="1" applyFill="1" applyBorder="1" applyAlignment="1" applyProtection="1">
      <alignment horizontal="center" vertical="center" wrapText="1" shrinkToFit="1"/>
      <protection locked="0" hidden="1"/>
    </xf>
    <xf numFmtId="0" fontId="2" fillId="2" borderId="6" xfId="0" applyFont="1" applyFill="1" applyBorder="1" applyAlignment="1" applyProtection="1">
      <alignment horizontal="center" vertical="center" wrapText="1"/>
      <protection locked="0" hidden="1"/>
    </xf>
    <xf numFmtId="57" fontId="2" fillId="2" borderId="2" xfId="0" applyNumberFormat="1" applyFont="1" applyFill="1" applyBorder="1" applyAlignment="1" applyProtection="1">
      <alignment horizontal="center" vertical="center" wrapText="1"/>
      <protection locked="0" hidden="1"/>
    </xf>
    <xf numFmtId="0" fontId="7" fillId="2" borderId="2" xfId="0" applyFont="1" applyFill="1" applyBorder="1" applyAlignment="1" applyProtection="1">
      <alignment vertical="center" shrinkToFit="1"/>
      <protection locked="0" hidden="1"/>
    </xf>
    <xf numFmtId="0" fontId="2" fillId="6" borderId="6" xfId="0" applyFont="1" applyFill="1" applyBorder="1" applyAlignment="1" applyProtection="1">
      <alignment horizontal="left" vertical="center" shrinkToFit="1"/>
      <protection hidden="1"/>
    </xf>
    <xf numFmtId="0" fontId="2" fillId="6" borderId="1" xfId="0" applyFont="1" applyFill="1" applyBorder="1" applyAlignment="1" applyProtection="1">
      <alignment horizontal="right" vertical="center" shrinkToFit="1"/>
      <protection hidden="1"/>
    </xf>
    <xf numFmtId="176" fontId="17" fillId="2" borderId="2" xfId="0" applyNumberFormat="1" applyFont="1" applyFill="1" applyBorder="1" applyAlignment="1" applyProtection="1">
      <alignment vertical="center" wrapText="1" shrinkToFit="1"/>
      <protection locked="0" hidden="1"/>
    </xf>
    <xf numFmtId="180" fontId="16" fillId="2" borderId="2" xfId="0" applyNumberFormat="1" applyFont="1" applyFill="1" applyBorder="1" applyAlignment="1" applyProtection="1">
      <alignment vertical="center" shrinkToFit="1"/>
      <protection locked="0" hidden="1"/>
    </xf>
    <xf numFmtId="177" fontId="2" fillId="6" borderId="2" xfId="0" applyNumberFormat="1" applyFont="1" applyFill="1" applyBorder="1" applyAlignment="1" applyProtection="1">
      <alignment horizontal="center" vertical="center" wrapText="1" shrinkToFit="1"/>
      <protection hidden="1"/>
    </xf>
    <xf numFmtId="0" fontId="2" fillId="6" borderId="6" xfId="0" applyFont="1" applyFill="1" applyBorder="1" applyAlignment="1" applyProtection="1">
      <alignment vertical="center" shrinkToFit="1"/>
      <protection hidden="1"/>
    </xf>
    <xf numFmtId="0" fontId="7" fillId="2" borderId="2" xfId="0" applyFont="1" applyFill="1" applyBorder="1" applyAlignment="1" applyProtection="1">
      <alignment horizontal="center" vertical="center" shrinkToFit="1"/>
      <protection locked="0" hidden="1"/>
    </xf>
    <xf numFmtId="0" fontId="7" fillId="2" borderId="1" xfId="0" applyFont="1" applyFill="1" applyBorder="1" applyAlignment="1" applyProtection="1">
      <alignment horizontal="center" vertical="center"/>
      <protection locked="0" hidden="1"/>
    </xf>
    <xf numFmtId="0" fontId="7" fillId="2" borderId="6" xfId="0" applyFont="1" applyFill="1" applyBorder="1" applyAlignment="1" applyProtection="1">
      <alignment horizontal="center" vertical="center"/>
      <protection locked="0" hidden="1"/>
    </xf>
    <xf numFmtId="0" fontId="0" fillId="3" borderId="0" xfId="0" applyFill="1" applyBorder="1" applyProtection="1">
      <alignment vertical="center"/>
      <protection hidden="1"/>
    </xf>
    <xf numFmtId="0" fontId="2" fillId="6" borderId="4" xfId="0" applyFont="1" applyFill="1" applyBorder="1" applyAlignment="1" applyProtection="1">
      <alignment horizontal="center" vertical="center" wrapText="1" shrinkToFit="1"/>
      <protection hidden="1"/>
    </xf>
    <xf numFmtId="0" fontId="2" fillId="6" borderId="2" xfId="0" applyFont="1" applyFill="1" applyBorder="1" applyAlignment="1" applyProtection="1">
      <alignment horizontal="center" vertical="center"/>
      <protection hidden="1"/>
    </xf>
    <xf numFmtId="49" fontId="17" fillId="2" borderId="1" xfId="0" applyNumberFormat="1" applyFont="1" applyFill="1" applyBorder="1" applyAlignment="1" applyProtection="1">
      <alignment horizontal="center" vertical="center" shrinkToFit="1"/>
      <protection locked="0" hidden="1"/>
    </xf>
    <xf numFmtId="49" fontId="17" fillId="2" borderId="6" xfId="0" applyNumberFormat="1" applyFont="1" applyFill="1" applyBorder="1" applyAlignment="1" applyProtection="1">
      <alignment horizontal="center" vertical="center" shrinkToFit="1"/>
      <protection locked="0" hidden="1"/>
    </xf>
    <xf numFmtId="0" fontId="18" fillId="6" borderId="2" xfId="0" applyFont="1" applyFill="1" applyBorder="1" applyAlignment="1" applyProtection="1">
      <alignment horizontal="left" vertical="center" wrapText="1"/>
      <protection locked="0" hidden="1"/>
    </xf>
    <xf numFmtId="49" fontId="5" fillId="0" borderId="2" xfId="0" applyNumberFormat="1" applyFont="1" applyFill="1" applyBorder="1" applyAlignment="1" applyProtection="1">
      <alignment horizontal="center" vertical="center" shrinkToFit="1"/>
      <protection locked="0" hidden="1"/>
    </xf>
    <xf numFmtId="49" fontId="21" fillId="0" borderId="2" xfId="0" applyNumberFormat="1" applyFont="1" applyFill="1" applyBorder="1" applyAlignment="1" applyProtection="1">
      <alignment horizontal="center" vertical="center" shrinkToFit="1"/>
      <protection locked="0" hidden="1"/>
    </xf>
    <xf numFmtId="0" fontId="0" fillId="0" borderId="2" xfId="0" applyBorder="1" applyAlignment="1" applyProtection="1">
      <alignment horizontal="center" vertical="center" shrinkToFit="1"/>
      <protection locked="0" hidden="1"/>
    </xf>
    <xf numFmtId="49" fontId="21" fillId="6" borderId="1" xfId="0" applyNumberFormat="1" applyFont="1" applyFill="1" applyBorder="1" applyAlignment="1" applyProtection="1">
      <alignment horizontal="center" vertical="center" shrinkToFit="1"/>
      <protection hidden="1"/>
    </xf>
    <xf numFmtId="49" fontId="21" fillId="6" borderId="9" xfId="0" applyNumberFormat="1" applyFont="1" applyFill="1" applyBorder="1" applyAlignment="1" applyProtection="1">
      <alignment horizontal="center" vertical="center" shrinkToFit="1"/>
      <protection hidden="1"/>
    </xf>
    <xf numFmtId="0" fontId="2" fillId="6" borderId="2" xfId="0" applyFont="1" applyFill="1" applyBorder="1" applyAlignment="1" applyProtection="1">
      <alignment vertical="center" shrinkToFit="1"/>
      <protection hidden="1"/>
    </xf>
    <xf numFmtId="49" fontId="21" fillId="0" borderId="1" xfId="0" applyNumberFormat="1" applyFont="1" applyFill="1" applyBorder="1" applyAlignment="1" applyProtection="1">
      <alignment horizontal="center" vertical="center" shrinkToFit="1"/>
      <protection locked="0" hidden="1"/>
    </xf>
    <xf numFmtId="49" fontId="21" fillId="0" borderId="9" xfId="0" applyNumberFormat="1" applyFont="1" applyFill="1" applyBorder="1" applyAlignment="1" applyProtection="1">
      <alignment horizontal="center" vertical="center" shrinkToFit="1"/>
      <protection locked="0" hidden="1"/>
    </xf>
    <xf numFmtId="49" fontId="21" fillId="0" borderId="6" xfId="0" applyNumberFormat="1" applyFont="1" applyFill="1" applyBorder="1" applyAlignment="1" applyProtection="1">
      <alignment horizontal="center" vertical="center" shrinkToFit="1"/>
      <protection locked="0" hidden="1"/>
    </xf>
    <xf numFmtId="49" fontId="21" fillId="0" borderId="6" xfId="0" applyNumberFormat="1" applyFont="1" applyFill="1" applyBorder="1" applyAlignment="1" applyProtection="1">
      <alignment vertical="center" shrinkToFit="1"/>
      <protection locked="0" hidden="1"/>
    </xf>
    <xf numFmtId="180" fontId="5" fillId="0" borderId="2" xfId="0" applyNumberFormat="1" applyFont="1" applyBorder="1" applyAlignment="1" applyProtection="1">
      <alignment horizontal="center" vertical="center" shrinkToFit="1"/>
      <protection locked="0" hidden="1"/>
    </xf>
    <xf numFmtId="49" fontId="5" fillId="0" borderId="2" xfId="0" applyNumberFormat="1" applyFont="1" applyFill="1" applyBorder="1" applyAlignment="1" applyProtection="1">
      <alignment vertical="center" shrinkToFit="1"/>
      <protection locked="0" hidden="1"/>
    </xf>
    <xf numFmtId="0" fontId="2" fillId="6" borderId="9" xfId="0" applyFont="1" applyFill="1" applyBorder="1" applyAlignment="1" applyProtection="1">
      <alignment horizontal="center" vertical="center" wrapText="1"/>
      <protection hidden="1"/>
    </xf>
    <xf numFmtId="180" fontId="5" fillId="0" borderId="1" xfId="0" applyNumberFormat="1" applyFont="1" applyBorder="1" applyAlignment="1" applyProtection="1">
      <alignment horizontal="center" vertical="center" shrinkToFit="1"/>
      <protection locked="0" hidden="1"/>
    </xf>
    <xf numFmtId="180" fontId="5" fillId="0" borderId="6" xfId="0" applyNumberFormat="1" applyFont="1" applyBorder="1" applyAlignment="1" applyProtection="1">
      <alignment horizontal="center" vertical="center" shrinkToFit="1"/>
      <protection locked="0" hidden="1"/>
    </xf>
    <xf numFmtId="0" fontId="0" fillId="0" borderId="2" xfId="0" applyBorder="1" applyAlignment="1" applyProtection="1">
      <alignment horizontal="center" vertical="center" wrapText="1"/>
    </xf>
    <xf numFmtId="0" fontId="0" fillId="0" borderId="2" xfId="0" applyBorder="1" applyAlignment="1" applyProtection="1">
      <alignment vertical="center"/>
    </xf>
    <xf numFmtId="0" fontId="0" fillId="0" borderId="2" xfId="0" applyBorder="1" applyAlignment="1" applyProtection="1">
      <alignment horizontal="center" vertical="center"/>
    </xf>
    <xf numFmtId="0" fontId="3" fillId="6" borderId="2" xfId="0" applyFont="1" applyFill="1" applyBorder="1" applyAlignment="1" applyProtection="1">
      <alignment horizontal="center" vertical="center" wrapText="1" shrinkToFit="1"/>
      <protection hidden="1"/>
    </xf>
    <xf numFmtId="49" fontId="5" fillId="0" borderId="1" xfId="0" applyNumberFormat="1" applyFont="1" applyFill="1" applyBorder="1" applyAlignment="1" applyProtection="1">
      <alignment horizontal="center" vertical="center" wrapText="1" shrinkToFit="1"/>
      <protection locked="0" hidden="1"/>
    </xf>
    <xf numFmtId="49" fontId="5" fillId="0" borderId="6" xfId="0" applyNumberFormat="1" applyFont="1" applyFill="1" applyBorder="1" applyAlignment="1" applyProtection="1">
      <alignment horizontal="center" vertical="center" shrinkToFit="1"/>
      <protection locked="0" hidden="1"/>
    </xf>
    <xf numFmtId="0" fontId="2" fillId="6" borderId="2" xfId="0" applyFont="1" applyFill="1" applyBorder="1" applyAlignment="1" applyProtection="1">
      <alignment vertical="center"/>
      <protection hidden="1"/>
    </xf>
    <xf numFmtId="180" fontId="17" fillId="2" borderId="2" xfId="0" applyNumberFormat="1" applyFont="1" applyFill="1" applyBorder="1" applyAlignment="1" applyProtection="1">
      <alignment horizontal="center" vertical="center" shrinkToFit="1"/>
      <protection locked="0" hidden="1"/>
    </xf>
    <xf numFmtId="180" fontId="21" fillId="0" borderId="2" xfId="0" applyNumberFormat="1" applyFont="1" applyBorder="1" applyAlignment="1" applyProtection="1">
      <alignment horizontal="center" vertical="center" shrinkToFit="1"/>
      <protection locked="0" hidden="1"/>
    </xf>
    <xf numFmtId="183" fontId="21" fillId="0" borderId="2" xfId="0" applyNumberFormat="1" applyFont="1" applyFill="1" applyBorder="1" applyAlignment="1" applyProtection="1">
      <alignment horizontal="center" vertical="center" shrinkToFit="1"/>
      <protection locked="0" hidden="1"/>
    </xf>
    <xf numFmtId="184" fontId="5" fillId="6" borderId="2" xfId="0" applyNumberFormat="1" applyFont="1" applyFill="1" applyBorder="1" applyAlignment="1" applyProtection="1">
      <alignment horizontal="center" vertical="center" shrinkToFit="1"/>
      <protection hidden="1"/>
    </xf>
    <xf numFmtId="185" fontId="7" fillId="2" borderId="2" xfId="0" applyNumberFormat="1" applyFont="1" applyFill="1" applyBorder="1" applyAlignment="1" applyProtection="1">
      <alignment horizontal="center" vertical="center"/>
      <protection locked="0" hidden="1"/>
    </xf>
    <xf numFmtId="49" fontId="21" fillId="6" borderId="6" xfId="0" applyNumberFormat="1" applyFont="1" applyFill="1" applyBorder="1" applyAlignment="1" applyProtection="1">
      <alignment horizontal="center" vertical="center" shrinkToFit="1"/>
      <protection hidden="1"/>
    </xf>
    <xf numFmtId="184" fontId="21" fillId="6" borderId="2" xfId="0" applyNumberFormat="1" applyFont="1" applyFill="1" applyBorder="1" applyAlignment="1" applyProtection="1">
      <alignment horizontal="center" vertical="center" shrinkToFit="1"/>
      <protection hidden="1"/>
    </xf>
    <xf numFmtId="176" fontId="21" fillId="0" borderId="2" xfId="0" applyNumberFormat="1" applyFont="1" applyFill="1" applyBorder="1" applyAlignment="1" applyProtection="1">
      <alignment horizontal="center" vertical="center" shrinkToFit="1"/>
      <protection locked="0" hidden="1"/>
    </xf>
    <xf numFmtId="184" fontId="21" fillId="0" borderId="2" xfId="0" applyNumberFormat="1" applyFont="1" applyFill="1" applyBorder="1" applyAlignment="1" applyProtection="1">
      <alignment horizontal="center" vertical="center" shrinkToFit="1"/>
      <protection locked="0" hidden="1"/>
    </xf>
    <xf numFmtId="0" fontId="7" fillId="7" borderId="2" xfId="0" applyFont="1" applyFill="1" applyBorder="1" applyAlignment="1" applyProtection="1">
      <alignment horizontal="center" vertical="center"/>
      <protection locked="0" hidden="1"/>
    </xf>
    <xf numFmtId="177" fontId="5" fillId="0" borderId="2" xfId="0" applyNumberFormat="1" applyFont="1" applyBorder="1" applyAlignment="1" applyProtection="1">
      <alignment horizontal="center" vertical="center" shrinkToFit="1"/>
      <protection locked="0" hidden="1"/>
    </xf>
    <xf numFmtId="177" fontId="7" fillId="2" borderId="2" xfId="0" applyNumberFormat="1" applyFont="1" applyFill="1" applyBorder="1" applyAlignment="1" applyProtection="1">
      <alignment horizontal="center" vertical="center"/>
      <protection locked="0" hidden="1"/>
    </xf>
    <xf numFmtId="177" fontId="7" fillId="7" borderId="2" xfId="0" applyNumberFormat="1" applyFont="1" applyFill="1" applyBorder="1" applyAlignment="1" applyProtection="1">
      <alignment horizontal="center" vertical="center"/>
      <protection locked="0" hidden="1"/>
    </xf>
    <xf numFmtId="183" fontId="5" fillId="0" borderId="2" xfId="0" applyNumberFormat="1" applyFont="1" applyFill="1" applyBorder="1" applyAlignment="1" applyProtection="1">
      <alignment horizontal="center" vertical="center" shrinkToFit="1"/>
      <protection locked="0" hidden="1"/>
    </xf>
    <xf numFmtId="183" fontId="21" fillId="0" borderId="2" xfId="0" applyNumberFormat="1" applyFont="1" applyBorder="1" applyAlignment="1" applyProtection="1">
      <alignment horizontal="center" vertical="center" shrinkToFit="1"/>
      <protection locked="0" hidden="1"/>
    </xf>
    <xf numFmtId="177" fontId="5" fillId="6" borderId="2" xfId="0" applyNumberFormat="1" applyFont="1" applyFill="1" applyBorder="1" applyAlignment="1" applyProtection="1">
      <alignment horizontal="center" vertical="center" shrinkToFit="1"/>
      <protection hidden="1"/>
    </xf>
    <xf numFmtId="186" fontId="21" fillId="6" borderId="2" xfId="0" applyNumberFormat="1" applyFont="1" applyFill="1" applyBorder="1" applyAlignment="1" applyProtection="1">
      <alignment horizontal="center" vertical="center" shrinkToFit="1"/>
      <protection hidden="1"/>
    </xf>
    <xf numFmtId="183" fontId="21" fillId="0" borderId="1" xfId="0" applyNumberFormat="1" applyFont="1" applyFill="1" applyBorder="1" applyAlignment="1" applyProtection="1">
      <alignment horizontal="center" vertical="center" shrinkToFit="1"/>
      <protection locked="0" hidden="1"/>
    </xf>
    <xf numFmtId="183" fontId="21" fillId="0" borderId="6" xfId="0" applyNumberFormat="1" applyFont="1" applyFill="1" applyBorder="1" applyAlignment="1" applyProtection="1">
      <alignment horizontal="center" vertical="center" shrinkToFit="1"/>
      <protection locked="0" hidden="1"/>
    </xf>
    <xf numFmtId="0" fontId="7" fillId="2" borderId="1" xfId="0" applyFont="1" applyFill="1" applyBorder="1" applyAlignment="1" applyProtection="1">
      <alignment horizontal="center" vertical="center" shrinkToFit="1"/>
      <protection locked="0" hidden="1"/>
    </xf>
    <xf numFmtId="0" fontId="7" fillId="2" borderId="6" xfId="0" applyFont="1" applyFill="1" applyBorder="1" applyAlignment="1" applyProtection="1">
      <alignment horizontal="center" vertical="center" shrinkToFit="1"/>
      <protection locked="0" hidden="1"/>
    </xf>
    <xf numFmtId="0" fontId="7" fillId="2" borderId="2" xfId="0" applyFont="1" applyFill="1" applyBorder="1" applyAlignment="1" applyProtection="1">
      <alignment vertical="center" wrapText="1"/>
      <protection locked="0" hidden="1"/>
    </xf>
    <xf numFmtId="0" fontId="2" fillId="6" borderId="2" xfId="0" applyFont="1" applyFill="1" applyBorder="1" applyAlignment="1" applyProtection="1">
      <alignment horizontal="center" vertical="center" shrinkToFit="1"/>
      <protection locked="0" hidden="1"/>
    </xf>
    <xf numFmtId="0" fontId="2" fillId="6" borderId="2" xfId="0" applyFont="1" applyFill="1" applyBorder="1" applyAlignment="1" applyProtection="1">
      <alignment vertical="center" shrinkToFit="1"/>
      <protection locked="0" hidden="1"/>
    </xf>
    <xf numFmtId="49" fontId="5" fillId="0" borderId="1" xfId="0" applyNumberFormat="1" applyFont="1" applyFill="1" applyBorder="1" applyAlignment="1" applyProtection="1">
      <alignment horizontal="center" vertical="center" shrinkToFit="1"/>
      <protection locked="0" hidden="1"/>
    </xf>
    <xf numFmtId="49" fontId="5" fillId="0" borderId="9" xfId="0" applyNumberFormat="1" applyFont="1" applyFill="1" applyBorder="1" applyAlignment="1" applyProtection="1">
      <alignment horizontal="center" vertical="center" shrinkToFit="1"/>
      <protection locked="0" hidden="1"/>
    </xf>
    <xf numFmtId="0" fontId="2" fillId="6" borderId="9" xfId="0" applyFont="1" applyFill="1" applyBorder="1" applyAlignment="1" applyProtection="1">
      <alignment horizontal="center" vertical="center" wrapText="1" shrinkToFit="1"/>
      <protection hidden="1"/>
    </xf>
    <xf numFmtId="0" fontId="2" fillId="6" borderId="6" xfId="0" applyFont="1" applyFill="1" applyBorder="1" applyAlignment="1" applyProtection="1">
      <alignment vertical="center" wrapText="1" shrinkToFit="1"/>
      <protection hidden="1"/>
    </xf>
    <xf numFmtId="49" fontId="5" fillId="0" borderId="1" xfId="0" applyNumberFormat="1" applyFont="1" applyFill="1" applyBorder="1" applyAlignment="1" applyProtection="1">
      <alignment vertical="center" shrinkToFit="1"/>
      <protection locked="0" hidden="1"/>
    </xf>
    <xf numFmtId="49" fontId="5" fillId="0" borderId="6" xfId="0" applyNumberFormat="1" applyFont="1" applyFill="1" applyBorder="1" applyAlignment="1" applyProtection="1">
      <alignment vertical="center" shrinkToFit="1"/>
      <protection locked="0" hidden="1"/>
    </xf>
    <xf numFmtId="49" fontId="21" fillId="0" borderId="2" xfId="0" applyNumberFormat="1" applyFont="1" applyFill="1" applyBorder="1" applyAlignment="1" applyProtection="1">
      <alignment vertical="center" shrinkToFit="1"/>
      <protection locked="0" hidden="1"/>
    </xf>
    <xf numFmtId="49" fontId="5" fillId="0" borderId="9" xfId="0" applyNumberFormat="1" applyFont="1" applyFill="1" applyBorder="1" applyAlignment="1" applyProtection="1">
      <alignment horizontal="center" vertical="center" wrapText="1" shrinkToFit="1"/>
      <protection locked="0" hidden="1"/>
    </xf>
    <xf numFmtId="0" fontId="2" fillId="6" borderId="2" xfId="0" applyFont="1" applyFill="1" applyBorder="1" applyAlignment="1" applyProtection="1">
      <alignment vertical="center" wrapText="1" shrinkToFit="1"/>
      <protection hidden="1"/>
    </xf>
    <xf numFmtId="0" fontId="21" fillId="0" borderId="2" xfId="0" applyNumberFormat="1" applyFont="1" applyFill="1" applyBorder="1" applyAlignment="1" applyProtection="1">
      <alignment horizontal="center" vertical="center" shrinkToFit="1"/>
      <protection locked="0" hidden="1"/>
    </xf>
    <xf numFmtId="0" fontId="21" fillId="0" borderId="6" xfId="0" applyNumberFormat="1" applyFont="1" applyFill="1" applyBorder="1" applyAlignment="1" applyProtection="1">
      <alignment horizontal="center" vertical="center" shrinkToFit="1"/>
      <protection locked="0" hidden="1"/>
    </xf>
    <xf numFmtId="180" fontId="7" fillId="2" borderId="2" xfId="0" applyNumberFormat="1" applyFont="1" applyFill="1" applyBorder="1" applyAlignment="1" applyProtection="1">
      <alignment horizontal="center" vertical="center"/>
      <protection locked="0" hidden="1"/>
    </xf>
    <xf numFmtId="177" fontId="7" fillId="2" borderId="1" xfId="0" applyNumberFormat="1" applyFont="1" applyFill="1" applyBorder="1" applyAlignment="1" applyProtection="1">
      <alignment horizontal="center" vertical="center"/>
      <protection locked="0" hidden="1"/>
    </xf>
    <xf numFmtId="0" fontId="2" fillId="8" borderId="0" xfId="0" applyFont="1" applyFill="1" applyAlignment="1" applyProtection="1">
      <alignment horizontal="center" vertical="center" wrapText="1"/>
      <protection locked="0" hidden="1"/>
    </xf>
    <xf numFmtId="0" fontId="22" fillId="6" borderId="3" xfId="0" applyFont="1" applyFill="1" applyBorder="1" applyAlignment="1" applyProtection="1">
      <alignment horizontal="center" vertical="center" wrapText="1"/>
      <protection hidden="1"/>
    </xf>
    <xf numFmtId="177" fontId="0" fillId="6" borderId="1" xfId="0" applyNumberFormat="1" applyFont="1" applyFill="1" applyBorder="1" applyAlignment="1" applyProtection="1">
      <alignment horizontal="center" vertical="center" shrinkToFit="1"/>
      <protection hidden="1"/>
    </xf>
    <xf numFmtId="177" fontId="0" fillId="6" borderId="9" xfId="0" applyNumberFormat="1" applyFont="1" applyFill="1" applyBorder="1" applyAlignment="1" applyProtection="1">
      <alignment horizontal="center" vertical="center" shrinkToFit="1"/>
      <protection hidden="1"/>
    </xf>
    <xf numFmtId="177" fontId="0" fillId="6" borderId="6" xfId="0" applyNumberFormat="1" applyFont="1" applyFill="1" applyBorder="1" applyAlignment="1" applyProtection="1">
      <alignment horizontal="center" vertical="center" shrinkToFit="1"/>
      <protection hidden="1"/>
    </xf>
    <xf numFmtId="177" fontId="0" fillId="6" borderId="1" xfId="0" applyNumberFormat="1" applyFont="1" applyFill="1" applyBorder="1" applyAlignment="1" applyProtection="1">
      <alignment horizontal="center" vertical="center" wrapText="1" shrinkToFit="1"/>
      <protection hidden="1"/>
    </xf>
    <xf numFmtId="177" fontId="0" fillId="6" borderId="6" xfId="0" applyNumberFormat="1" applyFont="1" applyFill="1" applyBorder="1" applyAlignment="1" applyProtection="1">
      <alignment horizontal="center" vertical="center" wrapText="1" shrinkToFit="1"/>
      <protection hidden="1"/>
    </xf>
    <xf numFmtId="177" fontId="0" fillId="6" borderId="2" xfId="0" applyNumberFormat="1" applyFont="1" applyFill="1" applyBorder="1" applyAlignment="1" applyProtection="1">
      <alignment horizontal="center" vertical="center" shrinkToFit="1"/>
      <protection hidden="1"/>
    </xf>
    <xf numFmtId="0" fontId="22" fillId="6" borderId="4" xfId="0" applyFont="1" applyFill="1" applyBorder="1" applyAlignment="1" applyProtection="1">
      <alignment horizontal="center" vertical="center" wrapText="1"/>
      <protection hidden="1"/>
    </xf>
    <xf numFmtId="177" fontId="0" fillId="6" borderId="1" xfId="0" applyNumberFormat="1" applyFont="1" applyFill="1" applyBorder="1" applyAlignment="1" applyProtection="1">
      <alignment horizontal="center" vertical="center"/>
      <protection hidden="1"/>
    </xf>
    <xf numFmtId="177" fontId="0" fillId="6" borderId="9" xfId="0" applyNumberFormat="1" applyFont="1" applyFill="1" applyBorder="1" applyAlignment="1" applyProtection="1">
      <alignment horizontal="center" vertical="center"/>
      <protection hidden="1"/>
    </xf>
    <xf numFmtId="177" fontId="0" fillId="6" borderId="6" xfId="0" applyNumberFormat="1" applyFont="1" applyFill="1" applyBorder="1" applyAlignment="1" applyProtection="1">
      <alignment horizontal="center" vertical="center"/>
      <protection hidden="1"/>
    </xf>
    <xf numFmtId="177" fontId="0" fillId="6" borderId="2" xfId="0" applyNumberFormat="1" applyFont="1" applyFill="1" applyBorder="1" applyAlignment="1" applyProtection="1">
      <alignment horizontal="center" vertical="center"/>
      <protection hidden="1"/>
    </xf>
    <xf numFmtId="0" fontId="22" fillId="6" borderId="3" xfId="0" applyFont="1" applyFill="1" applyBorder="1" applyAlignment="1" applyProtection="1">
      <alignment horizontal="center" vertical="center" wrapText="1" shrinkToFit="1"/>
      <protection hidden="1"/>
    </xf>
    <xf numFmtId="0" fontId="23" fillId="6" borderId="1" xfId="0" applyFont="1" applyFill="1" applyBorder="1" applyAlignment="1" applyProtection="1">
      <alignment horizontal="center" vertical="center" wrapText="1"/>
      <protection hidden="1"/>
    </xf>
    <xf numFmtId="0" fontId="23" fillId="6" borderId="6" xfId="0" applyFont="1" applyFill="1" applyBorder="1" applyAlignment="1" applyProtection="1">
      <alignment horizontal="center" vertical="center" wrapText="1"/>
      <protection hidden="1"/>
    </xf>
    <xf numFmtId="0" fontId="23" fillId="6" borderId="2" xfId="0" applyFont="1" applyFill="1" applyBorder="1" applyAlignment="1" applyProtection="1">
      <alignment horizontal="center" vertical="center" wrapText="1"/>
      <protection hidden="1"/>
    </xf>
    <xf numFmtId="0" fontId="23" fillId="6" borderId="6" xfId="0" applyFont="1" applyFill="1" applyBorder="1" applyAlignment="1" applyProtection="1">
      <alignment vertical="center" wrapText="1"/>
      <protection hidden="1"/>
    </xf>
    <xf numFmtId="0" fontId="22" fillId="6" borderId="10" xfId="0" applyFont="1" applyFill="1" applyBorder="1" applyAlignment="1" applyProtection="1">
      <alignment horizontal="center" vertical="center" wrapText="1" shrinkToFit="1"/>
      <protection hidden="1"/>
    </xf>
    <xf numFmtId="0" fontId="23" fillId="6" borderId="1" xfId="0" applyFont="1" applyFill="1" applyBorder="1" applyAlignment="1" applyProtection="1">
      <alignment horizontal="center" vertical="center" shrinkToFit="1"/>
      <protection hidden="1"/>
    </xf>
    <xf numFmtId="0" fontId="23" fillId="6" borderId="6" xfId="0" applyFont="1" applyFill="1" applyBorder="1" applyAlignment="1" applyProtection="1">
      <alignment horizontal="center" vertical="center" shrinkToFit="1"/>
      <protection hidden="1"/>
    </xf>
    <xf numFmtId="0" fontId="23" fillId="6" borderId="1" xfId="0" applyFont="1" applyFill="1" applyBorder="1" applyAlignment="1" applyProtection="1">
      <alignment horizontal="center" vertical="center" wrapText="1" shrinkToFit="1"/>
      <protection hidden="1"/>
    </xf>
    <xf numFmtId="0" fontId="23" fillId="6" borderId="6" xfId="0" applyFont="1" applyFill="1" applyBorder="1" applyAlignment="1" applyProtection="1">
      <alignment vertical="center" wrapText="1" shrinkToFit="1"/>
      <protection hidden="1"/>
    </xf>
    <xf numFmtId="0" fontId="22" fillId="6" borderId="4" xfId="0" applyFont="1" applyFill="1" applyBorder="1" applyAlignment="1" applyProtection="1">
      <alignment horizontal="center" vertical="center" wrapText="1" shrinkToFit="1"/>
      <protection hidden="1"/>
    </xf>
    <xf numFmtId="0" fontId="23" fillId="6" borderId="2" xfId="0" applyFont="1" applyFill="1" applyBorder="1" applyAlignment="1" applyProtection="1">
      <alignment vertical="center" wrapText="1" shrinkToFit="1"/>
      <protection hidden="1"/>
    </xf>
    <xf numFmtId="0" fontId="4" fillId="6" borderId="1" xfId="0" applyFont="1" applyFill="1" applyBorder="1" applyAlignment="1" applyProtection="1">
      <alignment horizontal="center" vertical="center" wrapText="1" shrinkToFit="1"/>
      <protection hidden="1"/>
    </xf>
    <xf numFmtId="177" fontId="23" fillId="6" borderId="1" xfId="0" applyNumberFormat="1" applyFont="1" applyFill="1" applyBorder="1" applyAlignment="1" applyProtection="1">
      <alignment horizontal="center" vertical="center" shrinkToFit="1"/>
      <protection hidden="1"/>
    </xf>
    <xf numFmtId="177" fontId="23" fillId="6" borderId="6" xfId="0" applyNumberFormat="1" applyFont="1" applyFill="1" applyBorder="1" applyAlignment="1" applyProtection="1">
      <alignment horizontal="center" vertical="center" shrinkToFit="1"/>
      <protection hidden="1"/>
    </xf>
    <xf numFmtId="0" fontId="23" fillId="6" borderId="2" xfId="0" applyFont="1" applyFill="1" applyBorder="1" applyAlignment="1" applyProtection="1">
      <alignment horizontal="center" vertical="center" shrinkToFit="1"/>
      <protection hidden="1"/>
    </xf>
    <xf numFmtId="0" fontId="3" fillId="6" borderId="2" xfId="0" applyFont="1" applyFill="1" applyBorder="1" applyAlignment="1" applyProtection="1">
      <alignment horizontal="center" vertical="center" wrapText="1"/>
      <protection hidden="1"/>
    </xf>
    <xf numFmtId="0" fontId="23" fillId="6" borderId="9" xfId="0" applyFont="1" applyFill="1" applyBorder="1" applyAlignment="1" applyProtection="1">
      <alignment horizontal="center" vertical="center" wrapText="1" shrinkToFit="1"/>
      <protection hidden="1"/>
    </xf>
    <xf numFmtId="0" fontId="23" fillId="6" borderId="6" xfId="0" applyFont="1" applyFill="1" applyBorder="1" applyAlignment="1" applyProtection="1">
      <alignment horizontal="center" vertical="center" wrapText="1" shrinkToFit="1"/>
      <protection hidden="1"/>
    </xf>
    <xf numFmtId="177" fontId="23" fillId="6" borderId="9" xfId="0" applyNumberFormat="1" applyFont="1" applyFill="1" applyBorder="1" applyAlignment="1" applyProtection="1">
      <alignment horizontal="center" vertical="center" shrinkToFit="1"/>
      <protection hidden="1"/>
    </xf>
    <xf numFmtId="177" fontId="23" fillId="6" borderId="1" xfId="0" applyNumberFormat="1" applyFont="1" applyFill="1" applyBorder="1" applyAlignment="1" applyProtection="1">
      <alignment horizontal="center" vertical="center" wrapText="1" shrinkToFit="1"/>
      <protection hidden="1"/>
    </xf>
    <xf numFmtId="0" fontId="18" fillId="6" borderId="1" xfId="0" applyFont="1" applyFill="1" applyBorder="1" applyAlignment="1" applyProtection="1">
      <alignment horizontal="center" vertical="center"/>
      <protection hidden="1"/>
    </xf>
    <xf numFmtId="0" fontId="18" fillId="6" borderId="9" xfId="0" applyFont="1" applyFill="1" applyBorder="1" applyAlignment="1" applyProtection="1">
      <alignment horizontal="center" vertical="center"/>
      <protection hidden="1"/>
    </xf>
    <xf numFmtId="0" fontId="18" fillId="6" borderId="6" xfId="0" applyFont="1" applyFill="1" applyBorder="1" applyAlignment="1" applyProtection="1">
      <alignment horizontal="center" vertical="center"/>
      <protection hidden="1"/>
    </xf>
    <xf numFmtId="0" fontId="24" fillId="6" borderId="2" xfId="0" applyFont="1" applyFill="1" applyBorder="1" applyAlignment="1" applyProtection="1">
      <alignment horizontal="left" vertical="center" wrapText="1"/>
      <protection hidden="1"/>
    </xf>
    <xf numFmtId="184" fontId="25" fillId="6" borderId="1" xfId="0" applyNumberFormat="1" applyFont="1" applyFill="1" applyBorder="1" applyAlignment="1" applyProtection="1">
      <alignment horizontal="center" vertical="center"/>
      <protection hidden="1"/>
    </xf>
    <xf numFmtId="184" fontId="25" fillId="6" borderId="9" xfId="0" applyNumberFormat="1" applyFont="1" applyFill="1" applyBorder="1" applyAlignment="1" applyProtection="1">
      <alignment horizontal="center" vertical="center"/>
      <protection hidden="1"/>
    </xf>
    <xf numFmtId="184" fontId="25" fillId="6" borderId="6" xfId="0" applyNumberFormat="1" applyFont="1" applyFill="1" applyBorder="1" applyAlignment="1" applyProtection="1">
      <alignment horizontal="center" vertical="center"/>
      <protection hidden="1"/>
    </xf>
    <xf numFmtId="184" fontId="20" fillId="6" borderId="1" xfId="0" applyNumberFormat="1" applyFont="1" applyFill="1" applyBorder="1" applyAlignment="1" applyProtection="1">
      <alignment horizontal="center" vertical="center"/>
      <protection hidden="1"/>
    </xf>
    <xf numFmtId="184" fontId="20" fillId="6" borderId="6" xfId="0" applyNumberFormat="1" applyFont="1" applyFill="1" applyBorder="1" applyAlignment="1" applyProtection="1">
      <alignment horizontal="center" vertical="center"/>
      <protection hidden="1"/>
    </xf>
    <xf numFmtId="183" fontId="4" fillId="6" borderId="1" xfId="0" applyNumberFormat="1" applyFont="1" applyFill="1" applyBorder="1" applyAlignment="1" applyProtection="1">
      <alignment horizontal="center" vertical="center" wrapText="1"/>
      <protection hidden="1"/>
    </xf>
    <xf numFmtId="183" fontId="4" fillId="6" borderId="9" xfId="0" applyNumberFormat="1" applyFont="1" applyFill="1" applyBorder="1" applyAlignment="1" applyProtection="1">
      <alignment horizontal="center" vertical="center" wrapText="1"/>
      <protection hidden="1"/>
    </xf>
    <xf numFmtId="183" fontId="23" fillId="6" borderId="2" xfId="0" applyNumberFormat="1" applyFont="1" applyFill="1" applyBorder="1" applyAlignment="1" applyProtection="1">
      <alignment horizontal="center" vertical="center" wrapText="1"/>
      <protection hidden="1"/>
    </xf>
    <xf numFmtId="183" fontId="3" fillId="6" borderId="2" xfId="0" applyNumberFormat="1" applyFont="1" applyFill="1" applyBorder="1" applyAlignment="1" applyProtection="1">
      <alignment horizontal="center" vertical="center" wrapText="1"/>
      <protection hidden="1"/>
    </xf>
    <xf numFmtId="177" fontId="25" fillId="6" borderId="1" xfId="0" applyNumberFormat="1" applyFont="1" applyFill="1" applyBorder="1" applyAlignment="1" applyProtection="1">
      <alignment horizontal="center" vertical="center"/>
      <protection hidden="1"/>
    </xf>
    <xf numFmtId="177" fontId="25" fillId="6" borderId="6" xfId="0" applyNumberFormat="1" applyFont="1" applyFill="1" applyBorder="1" applyAlignment="1" applyProtection="1">
      <alignment horizontal="center" vertical="center"/>
      <protection hidden="1"/>
    </xf>
    <xf numFmtId="177" fontId="25" fillId="6" borderId="2" xfId="0" applyNumberFormat="1" applyFont="1" applyFill="1" applyBorder="1" applyAlignment="1" applyProtection="1">
      <alignment horizontal="center" vertical="center"/>
      <protection hidden="1"/>
    </xf>
    <xf numFmtId="0" fontId="23" fillId="6" borderId="9" xfId="0" applyFont="1" applyFill="1" applyBorder="1" applyAlignment="1" applyProtection="1">
      <alignment horizontal="center" vertical="center" wrapText="1"/>
      <protection hidden="1"/>
    </xf>
    <xf numFmtId="183" fontId="22" fillId="6" borderId="1" xfId="0" applyNumberFormat="1" applyFont="1" applyFill="1" applyBorder="1" applyAlignment="1" applyProtection="1">
      <alignment horizontal="center" vertical="center" wrapText="1"/>
      <protection hidden="1"/>
    </xf>
    <xf numFmtId="183" fontId="22" fillId="6" borderId="6" xfId="0" applyNumberFormat="1" applyFont="1" applyFill="1" applyBorder="1" applyAlignment="1" applyProtection="1">
      <alignment horizontal="center" vertical="center"/>
      <protection hidden="1"/>
    </xf>
    <xf numFmtId="177" fontId="25" fillId="6" borderId="2" xfId="0" applyNumberFormat="1" applyFont="1" applyFill="1" applyBorder="1" applyAlignment="1" applyProtection="1">
      <alignment vertical="center"/>
      <protection hidden="1"/>
    </xf>
    <xf numFmtId="177" fontId="20" fillId="6" borderId="2" xfId="0" applyNumberFormat="1" applyFont="1" applyFill="1" applyBorder="1" applyAlignment="1" applyProtection="1">
      <alignment horizontal="center" vertical="center"/>
      <protection hidden="1"/>
    </xf>
    <xf numFmtId="0" fontId="23" fillId="6" borderId="2" xfId="0" applyFont="1" applyFill="1" applyBorder="1" applyAlignment="1" applyProtection="1">
      <alignment vertical="center" wrapText="1"/>
      <protection hidden="1"/>
    </xf>
    <xf numFmtId="183" fontId="4" fillId="6" borderId="6" xfId="0" applyNumberFormat="1" applyFont="1" applyFill="1" applyBorder="1" applyAlignment="1" applyProtection="1">
      <alignment horizontal="center" vertical="center" wrapText="1"/>
      <protection hidden="1"/>
    </xf>
    <xf numFmtId="0" fontId="4" fillId="6" borderId="6" xfId="0" applyFont="1" applyFill="1" applyBorder="1" applyAlignment="1" applyProtection="1">
      <alignment horizontal="center" vertical="center" shrinkToFit="1"/>
      <protection hidden="1"/>
    </xf>
    <xf numFmtId="0" fontId="3" fillId="6" borderId="1" xfId="0" applyFont="1" applyFill="1" applyBorder="1" applyAlignment="1" applyProtection="1">
      <alignment horizontal="center" vertical="center" wrapText="1" shrinkToFit="1"/>
      <protection hidden="1"/>
    </xf>
    <xf numFmtId="0" fontId="3" fillId="6" borderId="6" xfId="0" applyFont="1" applyFill="1" applyBorder="1" applyAlignment="1" applyProtection="1">
      <alignment vertical="center" wrapText="1" shrinkToFit="1"/>
      <protection hidden="1"/>
    </xf>
    <xf numFmtId="177" fontId="22" fillId="6" borderId="1" xfId="0" applyNumberFormat="1" applyFont="1" applyFill="1" applyBorder="1" applyAlignment="1" applyProtection="1">
      <alignment horizontal="center" vertical="center" shrinkToFit="1"/>
      <protection hidden="1"/>
    </xf>
    <xf numFmtId="177" fontId="22" fillId="6" borderId="6" xfId="0" applyNumberFormat="1" applyFont="1" applyFill="1" applyBorder="1" applyAlignment="1" applyProtection="1">
      <alignment horizontal="center" vertical="center" shrinkToFit="1"/>
      <protection hidden="1"/>
    </xf>
    <xf numFmtId="184" fontId="13" fillId="6" borderId="2" xfId="0" applyNumberFormat="1" applyFont="1" applyFill="1" applyBorder="1" applyAlignment="1" applyProtection="1">
      <alignment horizontal="center" vertical="center"/>
      <protection hidden="1"/>
    </xf>
    <xf numFmtId="0" fontId="7" fillId="2" borderId="2" xfId="0" applyFont="1" applyFill="1" applyBorder="1" applyAlignment="1" applyProtection="1">
      <alignment vertical="center" wrapText="1" shrinkToFit="1"/>
      <protection locked="0" hidden="1"/>
    </xf>
    <xf numFmtId="0" fontId="0" fillId="0" borderId="6" xfId="0" applyFill="1" applyBorder="1" applyProtection="1">
      <alignment vertical="center"/>
      <protection hidden="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李格非" xfId="49"/>
    <cellStyle name="常规_中南财经政法大学专业技术岗位晋升聘用申报表" xfId="50"/>
    <cellStyle name="常规 2" xfId="51"/>
  </cellStyles>
  <tableStyles count="0" defaultTableStyle="TableStyleMedium9" defaultPivotStyle="PivotStyleLight16"/>
  <colors>
    <mruColors>
      <color rgb="00CC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T246"/>
  <sheetViews>
    <sheetView tabSelected="1" workbookViewId="0">
      <selection activeCell="D27" sqref="D27:E27"/>
    </sheetView>
  </sheetViews>
  <sheetFormatPr defaultColWidth="9" defaultRowHeight="14.25"/>
  <cols>
    <col min="1" max="1" width="11.125" style="26" customWidth="1"/>
    <col min="2" max="2" width="14.375" style="27" customWidth="1"/>
    <col min="3" max="3" width="7.25" style="28" customWidth="1"/>
    <col min="4" max="4" width="6.75" style="28" customWidth="1"/>
    <col min="5" max="5" width="12.125" style="28" customWidth="1"/>
    <col min="6" max="6" width="5.5" style="28" customWidth="1"/>
    <col min="7" max="7" width="11.5" style="28" customWidth="1"/>
    <col min="8" max="8" width="7.75" style="28" customWidth="1"/>
    <col min="9" max="9" width="8" style="28" customWidth="1"/>
    <col min="10" max="10" width="9.5" style="28" customWidth="1"/>
    <col min="11" max="11" width="8.75" style="28" customWidth="1"/>
    <col min="12" max="12" width="7" style="28" customWidth="1"/>
    <col min="13" max="13" width="8.375" style="28" customWidth="1"/>
    <col min="14" max="14" width="10.125" style="28" customWidth="1"/>
    <col min="15" max="15" width="10.25" style="29" customWidth="1"/>
    <col min="16" max="16" width="16" style="29" hidden="1" customWidth="1"/>
    <col min="17" max="17" width="13.375" style="29" hidden="1" customWidth="1"/>
    <col min="18" max="18" width="13.375" style="30" hidden="1" customWidth="1"/>
    <col min="19" max="19" width="11.125" style="29" hidden="1" customWidth="1"/>
    <col min="20" max="20" width="13.125" style="29" hidden="1" customWidth="1"/>
    <col min="21" max="21" width="11.375" style="29" hidden="1" customWidth="1"/>
    <col min="22" max="22" width="14.125" style="29" hidden="1" customWidth="1"/>
    <col min="23" max="23" width="14.375" style="29" hidden="1" customWidth="1"/>
    <col min="24" max="26" width="12" style="29" hidden="1" customWidth="1"/>
    <col min="27" max="27" width="13.125" style="29" hidden="1" customWidth="1"/>
    <col min="28" max="28" width="14.5" style="29" hidden="1" customWidth="1"/>
    <col min="29" max="29" width="16.375" style="29" hidden="1" customWidth="1"/>
    <col min="30" max="30" width="13.625" style="29" hidden="1" customWidth="1"/>
    <col min="31" max="31" width="12.875" style="29" hidden="1" customWidth="1"/>
    <col min="32" max="33" width="9" style="29" hidden="1" customWidth="1"/>
    <col min="34" max="35" width="11.875" style="29" hidden="1" customWidth="1"/>
    <col min="36" max="41" width="11.875" style="31" hidden="1" customWidth="1"/>
    <col min="42" max="60" width="9" style="32"/>
    <col min="61" max="71" width="9" style="26"/>
    <col min="72" max="72" width="9" style="27"/>
    <col min="73" max="16384" width="9" style="28"/>
  </cols>
  <sheetData>
    <row r="1" spans="1:60">
      <c r="A1" s="33"/>
      <c r="B1" s="34" t="s">
        <v>0</v>
      </c>
      <c r="C1" s="34" t="s">
        <v>1</v>
      </c>
      <c r="D1" s="35"/>
      <c r="E1" s="35"/>
      <c r="F1" s="35"/>
      <c r="G1" s="35"/>
      <c r="H1" s="35"/>
      <c r="I1" s="35"/>
      <c r="J1" s="35"/>
      <c r="K1" s="35"/>
      <c r="L1" s="35"/>
      <c r="M1" s="35"/>
      <c r="N1" s="35"/>
      <c r="O1" s="35"/>
      <c r="P1" s="98"/>
      <c r="AP1" s="124"/>
      <c r="AQ1" s="124"/>
      <c r="AR1" s="124"/>
      <c r="AS1" s="124"/>
      <c r="AT1" s="124"/>
      <c r="AU1" s="124"/>
      <c r="AV1" s="124"/>
      <c r="AW1" s="124"/>
      <c r="AX1" s="124"/>
      <c r="AY1" s="124"/>
      <c r="AZ1" s="124"/>
      <c r="BA1" s="124"/>
      <c r="BB1" s="124"/>
      <c r="BC1" s="124"/>
      <c r="BD1" s="124"/>
      <c r="BE1" s="124"/>
      <c r="BF1" s="124"/>
      <c r="BG1" s="124"/>
      <c r="BH1" s="124"/>
    </row>
    <row r="2" spans="1:60">
      <c r="A2" s="33"/>
      <c r="B2" s="34"/>
      <c r="C2" s="35" t="s">
        <v>2</v>
      </c>
      <c r="D2" s="35"/>
      <c r="E2" s="35"/>
      <c r="F2" s="35"/>
      <c r="G2" s="35"/>
      <c r="H2" s="35"/>
      <c r="I2" s="35"/>
      <c r="J2" s="35"/>
      <c r="K2" s="35"/>
      <c r="L2" s="35"/>
      <c r="M2" s="35"/>
      <c r="N2" s="35"/>
      <c r="O2" s="35"/>
      <c r="P2" s="98"/>
      <c r="AP2" s="124"/>
      <c r="AQ2" s="124"/>
      <c r="AR2" s="124"/>
      <c r="AS2" s="124"/>
      <c r="AT2" s="124"/>
      <c r="AU2" s="124"/>
      <c r="AV2" s="124"/>
      <c r="AW2" s="124"/>
      <c r="AX2" s="124"/>
      <c r="AY2" s="124"/>
      <c r="AZ2" s="124"/>
      <c r="BA2" s="124"/>
      <c r="BB2" s="124"/>
      <c r="BC2" s="124"/>
      <c r="BD2" s="124"/>
      <c r="BE2" s="124"/>
      <c r="BF2" s="124"/>
      <c r="BG2" s="124"/>
      <c r="BH2" s="124"/>
    </row>
    <row r="3" spans="1:60">
      <c r="A3" s="33"/>
      <c r="B3" s="34"/>
      <c r="C3" s="35" t="s">
        <v>3</v>
      </c>
      <c r="D3" s="35"/>
      <c r="E3" s="35"/>
      <c r="F3" s="35"/>
      <c r="G3" s="35"/>
      <c r="H3" s="35"/>
      <c r="I3" s="35"/>
      <c r="J3" s="35"/>
      <c r="K3" s="35"/>
      <c r="L3" s="35"/>
      <c r="M3" s="35"/>
      <c r="N3" s="35"/>
      <c r="O3" s="35"/>
      <c r="P3" s="98"/>
      <c r="AP3" s="124"/>
      <c r="AQ3" s="124"/>
      <c r="AR3" s="124"/>
      <c r="AS3" s="124"/>
      <c r="AT3" s="124"/>
      <c r="AU3" s="124"/>
      <c r="AV3" s="124"/>
      <c r="AW3" s="124"/>
      <c r="AX3" s="124"/>
      <c r="AY3" s="124"/>
      <c r="AZ3" s="124"/>
      <c r="BA3" s="124"/>
      <c r="BB3" s="124"/>
      <c r="BC3" s="124"/>
      <c r="BD3" s="124"/>
      <c r="BE3" s="124"/>
      <c r="BF3" s="124"/>
      <c r="BG3" s="124"/>
      <c r="BH3" s="124"/>
    </row>
    <row r="4" spans="1:60">
      <c r="A4" s="33"/>
      <c r="B4" s="34"/>
      <c r="C4" s="35" t="s">
        <v>4</v>
      </c>
      <c r="D4" s="35"/>
      <c r="E4" s="35"/>
      <c r="F4" s="35"/>
      <c r="G4" s="35"/>
      <c r="H4" s="35"/>
      <c r="I4" s="35"/>
      <c r="J4" s="35"/>
      <c r="K4" s="35"/>
      <c r="L4" s="35"/>
      <c r="M4" s="35"/>
      <c r="N4" s="35"/>
      <c r="O4" s="35"/>
      <c r="P4" s="98"/>
      <c r="AP4" s="124"/>
      <c r="AQ4" s="124"/>
      <c r="AR4" s="124"/>
      <c r="AS4" s="124"/>
      <c r="AT4" s="124"/>
      <c r="AU4" s="124"/>
      <c r="AV4" s="124"/>
      <c r="AW4" s="124"/>
      <c r="AX4" s="124"/>
      <c r="AY4" s="124"/>
      <c r="AZ4" s="124"/>
      <c r="BA4" s="124"/>
      <c r="BB4" s="124"/>
      <c r="BC4" s="124"/>
      <c r="BD4" s="124"/>
      <c r="BE4" s="124"/>
      <c r="BF4" s="124"/>
      <c r="BG4" s="124"/>
      <c r="BH4" s="124"/>
    </row>
    <row r="5" spans="1:60">
      <c r="A5" s="33"/>
      <c r="B5" s="34"/>
      <c r="C5" s="35" t="s">
        <v>5</v>
      </c>
      <c r="D5" s="35"/>
      <c r="E5" s="35"/>
      <c r="F5" s="35"/>
      <c r="G5" s="35"/>
      <c r="H5" s="35"/>
      <c r="I5" s="35"/>
      <c r="J5" s="35"/>
      <c r="K5" s="35"/>
      <c r="L5" s="35"/>
      <c r="M5" s="35"/>
      <c r="N5" s="35"/>
      <c r="O5" s="35"/>
      <c r="P5" s="98"/>
      <c r="AP5" s="124"/>
      <c r="AQ5" s="124"/>
      <c r="AR5" s="124"/>
      <c r="AS5" s="124"/>
      <c r="AT5" s="124"/>
      <c r="AU5" s="124"/>
      <c r="AV5" s="124"/>
      <c r="AW5" s="124"/>
      <c r="AX5" s="124"/>
      <c r="AY5" s="124"/>
      <c r="AZ5" s="124"/>
      <c r="BA5" s="124"/>
      <c r="BB5" s="124"/>
      <c r="BC5" s="124"/>
      <c r="BD5" s="124"/>
      <c r="BE5" s="124"/>
      <c r="BF5" s="124"/>
      <c r="BG5" s="124"/>
      <c r="BH5" s="124"/>
    </row>
    <row r="6" ht="23" customHeight="1" spans="1:60">
      <c r="A6" s="33"/>
      <c r="B6" s="36"/>
      <c r="C6" s="36"/>
      <c r="D6" s="36"/>
      <c r="E6" s="36"/>
      <c r="F6" s="36"/>
      <c r="G6" s="36"/>
      <c r="H6" s="36"/>
      <c r="I6" s="36"/>
      <c r="J6" s="36"/>
      <c r="K6" s="36"/>
      <c r="L6" s="36"/>
      <c r="M6" s="36"/>
      <c r="N6" s="36"/>
      <c r="O6" s="99"/>
      <c r="P6" s="100"/>
      <c r="AP6" s="124"/>
      <c r="AQ6" s="124"/>
      <c r="AR6" s="124"/>
      <c r="AS6" s="124"/>
      <c r="AT6" s="124"/>
      <c r="AU6" s="124"/>
      <c r="AV6" s="124"/>
      <c r="AW6" s="124"/>
      <c r="AX6" s="124"/>
      <c r="AY6" s="124"/>
      <c r="AZ6" s="124"/>
      <c r="BA6" s="124"/>
      <c r="BB6" s="124"/>
      <c r="BC6" s="124"/>
      <c r="BD6" s="124"/>
      <c r="BE6" s="124"/>
      <c r="BF6" s="124"/>
      <c r="BG6" s="124"/>
      <c r="BH6" s="124"/>
    </row>
    <row r="7" ht="79" customHeight="1" spans="1:60">
      <c r="A7" s="33"/>
      <c r="B7" s="37" t="s">
        <v>6</v>
      </c>
      <c r="C7" s="37"/>
      <c r="D7" s="37"/>
      <c r="E7" s="37"/>
      <c r="F7" s="37"/>
      <c r="G7" s="37"/>
      <c r="H7" s="37"/>
      <c r="I7" s="37"/>
      <c r="J7" s="37"/>
      <c r="K7" s="37"/>
      <c r="L7" s="37"/>
      <c r="M7" s="37"/>
      <c r="N7" s="37"/>
      <c r="O7" s="37"/>
      <c r="P7" s="101"/>
      <c r="Q7" s="98"/>
      <c r="AP7" s="124"/>
      <c r="AQ7" s="124"/>
      <c r="AR7" s="124"/>
      <c r="AS7" s="124"/>
      <c r="AT7" s="124"/>
      <c r="AU7" s="124"/>
      <c r="AV7" s="124"/>
      <c r="AW7" s="124"/>
      <c r="AX7" s="124"/>
      <c r="AY7" s="124"/>
      <c r="AZ7" s="124"/>
      <c r="BA7" s="124"/>
      <c r="BB7" s="124"/>
      <c r="BC7" s="124"/>
      <c r="BD7" s="124"/>
      <c r="BE7" s="124"/>
      <c r="BF7" s="124"/>
      <c r="BG7" s="124"/>
      <c r="BH7" s="124"/>
    </row>
    <row r="8" ht="31" customHeight="1" spans="1:60">
      <c r="A8" s="33"/>
      <c r="B8" s="37"/>
      <c r="C8" s="37"/>
      <c r="D8" s="37"/>
      <c r="E8" s="37"/>
      <c r="F8" s="37"/>
      <c r="G8" s="37"/>
      <c r="H8" s="37"/>
      <c r="I8" s="37"/>
      <c r="J8" s="37"/>
      <c r="K8" s="37"/>
      <c r="L8" s="37"/>
      <c r="M8" s="37"/>
      <c r="N8" s="37"/>
      <c r="O8" s="37"/>
      <c r="P8" s="102"/>
      <c r="AP8" s="124"/>
      <c r="AQ8" s="124"/>
      <c r="AR8" s="124"/>
      <c r="AS8" s="124"/>
      <c r="AT8" s="124"/>
      <c r="AU8" s="124"/>
      <c r="AV8" s="124"/>
      <c r="AW8" s="124"/>
      <c r="AX8" s="124"/>
      <c r="AY8" s="124"/>
      <c r="AZ8" s="124"/>
      <c r="BA8" s="124"/>
      <c r="BB8" s="124"/>
      <c r="BC8" s="124"/>
      <c r="BD8" s="124"/>
      <c r="BE8" s="124"/>
      <c r="BF8" s="124"/>
      <c r="BG8" s="124"/>
      <c r="BH8" s="124"/>
    </row>
    <row r="9" ht="21" customHeight="1" spans="1:60">
      <c r="A9" s="33"/>
      <c r="B9" s="38"/>
      <c r="C9" s="38"/>
      <c r="D9" s="38"/>
      <c r="E9" s="38"/>
      <c r="F9" s="38"/>
      <c r="G9" s="39"/>
      <c r="H9" s="39"/>
      <c r="I9" s="103" t="s">
        <v>7</v>
      </c>
      <c r="J9" s="103"/>
      <c r="K9" s="38"/>
      <c r="L9" s="38"/>
      <c r="M9" s="38"/>
      <c r="N9" s="38"/>
      <c r="O9" s="99"/>
      <c r="P9" s="98"/>
      <c r="AP9" s="124"/>
      <c r="AQ9" s="124"/>
      <c r="AR9" s="124"/>
      <c r="AS9" s="124"/>
      <c r="AT9" s="124"/>
      <c r="AU9" s="124"/>
      <c r="AV9" s="124"/>
      <c r="AW9" s="124"/>
      <c r="AX9" s="124"/>
      <c r="AY9" s="124"/>
      <c r="AZ9" s="124"/>
      <c r="BA9" s="124"/>
      <c r="BB9" s="124"/>
      <c r="BC9" s="124"/>
      <c r="BD9" s="124"/>
      <c r="BE9" s="124"/>
      <c r="BF9" s="124"/>
      <c r="BG9" s="124"/>
      <c r="BH9" s="124"/>
    </row>
    <row r="10" ht="8" customHeight="1" spans="1:60">
      <c r="A10" s="33"/>
      <c r="B10" s="40"/>
      <c r="C10" s="41"/>
      <c r="D10" s="41"/>
      <c r="E10" s="41"/>
      <c r="F10" s="41"/>
      <c r="G10" s="41"/>
      <c r="H10" s="41"/>
      <c r="I10" s="41"/>
      <c r="J10" s="41"/>
      <c r="K10" s="41"/>
      <c r="L10" s="41"/>
      <c r="M10" s="41"/>
      <c r="N10" s="41"/>
      <c r="O10" s="99"/>
      <c r="P10" s="98"/>
      <c r="AP10" s="124"/>
      <c r="AQ10" s="124"/>
      <c r="AR10" s="124"/>
      <c r="AS10" s="124"/>
      <c r="AT10" s="124"/>
      <c r="AU10" s="124"/>
      <c r="AV10" s="124"/>
      <c r="AW10" s="124"/>
      <c r="AX10" s="124"/>
      <c r="AY10" s="124"/>
      <c r="AZ10" s="124"/>
      <c r="BA10" s="124"/>
      <c r="BB10" s="124"/>
      <c r="BC10" s="124"/>
      <c r="BD10" s="124"/>
      <c r="BE10" s="124"/>
      <c r="BF10" s="124"/>
      <c r="BG10" s="124"/>
      <c r="BH10" s="124"/>
    </row>
    <row r="11" ht="15" customHeight="1" spans="1:60">
      <c r="A11" s="33"/>
      <c r="B11" s="40"/>
      <c r="C11" s="41"/>
      <c r="D11" s="41"/>
      <c r="E11" s="41"/>
      <c r="F11" s="41"/>
      <c r="G11" s="41"/>
      <c r="H11" s="41"/>
      <c r="I11" s="41"/>
      <c r="J11" s="41"/>
      <c r="K11" s="41"/>
      <c r="L11" s="41"/>
      <c r="M11" s="41"/>
      <c r="N11" s="41"/>
      <c r="O11" s="99"/>
      <c r="P11" s="98"/>
      <c r="AP11" s="124"/>
      <c r="AQ11" s="124"/>
      <c r="AR11" s="124"/>
      <c r="AS11" s="124"/>
      <c r="AT11" s="124"/>
      <c r="AU11" s="124"/>
      <c r="AV11" s="124"/>
      <c r="AW11" s="124"/>
      <c r="AX11" s="124"/>
      <c r="AY11" s="124"/>
      <c r="AZ11" s="124"/>
      <c r="BA11" s="124"/>
      <c r="BB11" s="124"/>
      <c r="BC11" s="124"/>
      <c r="BD11" s="124"/>
      <c r="BE11" s="124"/>
      <c r="BF11" s="124"/>
      <c r="BG11" s="124"/>
      <c r="BH11" s="124"/>
    </row>
    <row r="12" ht="15" customHeight="1" spans="1:60">
      <c r="A12" s="33"/>
      <c r="B12" s="40"/>
      <c r="C12" s="41"/>
      <c r="D12" s="41"/>
      <c r="E12" s="41"/>
      <c r="F12" s="41"/>
      <c r="G12" s="41"/>
      <c r="H12" s="41"/>
      <c r="I12" s="41"/>
      <c r="J12" s="41"/>
      <c r="K12" s="41"/>
      <c r="L12" s="41"/>
      <c r="M12" s="41"/>
      <c r="N12" s="41"/>
      <c r="O12" s="99"/>
      <c r="P12" s="98"/>
      <c r="AP12" s="124"/>
      <c r="AQ12" s="124"/>
      <c r="AR12" s="124"/>
      <c r="AS12" s="124"/>
      <c r="AT12" s="124"/>
      <c r="AU12" s="124"/>
      <c r="AV12" s="124"/>
      <c r="AW12" s="124"/>
      <c r="AX12" s="124"/>
      <c r="AY12" s="124"/>
      <c r="AZ12" s="124"/>
      <c r="BA12" s="124"/>
      <c r="BB12" s="124"/>
      <c r="BC12" s="124"/>
      <c r="BD12" s="124"/>
      <c r="BE12" s="124"/>
      <c r="BF12" s="124"/>
      <c r="BG12" s="124"/>
      <c r="BH12" s="124"/>
    </row>
    <row r="13" ht="15" customHeight="1" spans="1:60">
      <c r="A13" s="33"/>
      <c r="B13" s="40"/>
      <c r="C13" s="41"/>
      <c r="D13" s="41"/>
      <c r="E13" s="41"/>
      <c r="F13" s="41"/>
      <c r="G13" s="41"/>
      <c r="H13" s="41"/>
      <c r="I13" s="41"/>
      <c r="J13" s="41"/>
      <c r="K13" s="41"/>
      <c r="L13" s="41"/>
      <c r="M13" s="41"/>
      <c r="N13" s="41"/>
      <c r="O13" s="99"/>
      <c r="P13" s="98"/>
      <c r="AP13" s="124"/>
      <c r="AQ13" s="124"/>
      <c r="AR13" s="124"/>
      <c r="AS13" s="124"/>
      <c r="AT13" s="124"/>
      <c r="AU13" s="124"/>
      <c r="AV13" s="124"/>
      <c r="AW13" s="124"/>
      <c r="AX13" s="124"/>
      <c r="AY13" s="124"/>
      <c r="AZ13" s="124"/>
      <c r="BA13" s="124"/>
      <c r="BB13" s="124"/>
      <c r="BC13" s="124"/>
      <c r="BD13" s="124"/>
      <c r="BE13" s="124"/>
      <c r="BF13" s="124"/>
      <c r="BG13" s="124"/>
      <c r="BH13" s="124"/>
    </row>
    <row r="14" ht="28" customHeight="1" spans="1:60">
      <c r="A14" s="33"/>
      <c r="B14" s="40"/>
      <c r="C14" s="40"/>
      <c r="D14" s="42"/>
      <c r="E14" s="43" t="s">
        <v>8</v>
      </c>
      <c r="F14" s="43"/>
      <c r="G14" s="43"/>
      <c r="H14" s="44"/>
      <c r="I14" s="44"/>
      <c r="J14" s="44"/>
      <c r="K14" s="44"/>
      <c r="L14" s="40"/>
      <c r="M14" s="40"/>
      <c r="N14" s="40"/>
      <c r="O14" s="104"/>
      <c r="P14" s="98"/>
      <c r="AP14" s="124"/>
      <c r="AQ14" s="124"/>
      <c r="AR14" s="124"/>
      <c r="AS14" s="124"/>
      <c r="AT14" s="124"/>
      <c r="AU14" s="124"/>
      <c r="AV14" s="124"/>
      <c r="AW14" s="124"/>
      <c r="AX14" s="124"/>
      <c r="AY14" s="124"/>
      <c r="AZ14" s="124"/>
      <c r="BA14" s="124"/>
      <c r="BB14" s="124"/>
      <c r="BC14" s="124"/>
      <c r="BD14" s="124"/>
      <c r="BE14" s="124"/>
      <c r="BF14" s="124"/>
      <c r="BG14" s="124"/>
      <c r="BH14" s="124"/>
    </row>
    <row r="15" ht="28" customHeight="1" spans="1:60">
      <c r="A15" s="33"/>
      <c r="B15" s="40"/>
      <c r="C15" s="40"/>
      <c r="D15" s="36"/>
      <c r="E15" s="43" t="s">
        <v>9</v>
      </c>
      <c r="F15" s="43"/>
      <c r="G15" s="43"/>
      <c r="H15" s="44"/>
      <c r="I15" s="44"/>
      <c r="J15" s="44"/>
      <c r="K15" s="44"/>
      <c r="L15" s="40"/>
      <c r="M15" s="40"/>
      <c r="N15" s="40"/>
      <c r="O15" s="104"/>
      <c r="P15" s="98"/>
      <c r="AP15" s="124"/>
      <c r="AQ15" s="124"/>
      <c r="AR15" s="124"/>
      <c r="AS15" s="124"/>
      <c r="AT15" s="124"/>
      <c r="AU15" s="124"/>
      <c r="AV15" s="124"/>
      <c r="AW15" s="124"/>
      <c r="AX15" s="124"/>
      <c r="AY15" s="124"/>
      <c r="AZ15" s="124"/>
      <c r="BA15" s="124"/>
      <c r="BB15" s="124"/>
      <c r="BC15" s="124"/>
      <c r="BD15" s="124"/>
      <c r="BE15" s="124"/>
      <c r="BF15" s="124"/>
      <c r="BG15" s="124"/>
      <c r="BH15" s="124"/>
    </row>
    <row r="16" ht="28" customHeight="1" spans="1:60">
      <c r="A16" s="33"/>
      <c r="B16" s="40"/>
      <c r="C16" s="40"/>
      <c r="D16" s="45"/>
      <c r="E16" s="46" t="s">
        <v>10</v>
      </c>
      <c r="F16" s="46"/>
      <c r="G16" s="46"/>
      <c r="H16" s="44"/>
      <c r="I16" s="44"/>
      <c r="J16" s="44"/>
      <c r="K16" s="44"/>
      <c r="L16" s="40"/>
      <c r="M16" s="40"/>
      <c r="N16" s="40"/>
      <c r="O16" s="104"/>
      <c r="P16" s="98"/>
      <c r="AP16" s="124"/>
      <c r="AQ16" s="124"/>
      <c r="AR16" s="124"/>
      <c r="AS16" s="124"/>
      <c r="AT16" s="124"/>
      <c r="AU16" s="124"/>
      <c r="AV16" s="124"/>
      <c r="AW16" s="124"/>
      <c r="AX16" s="124"/>
      <c r="AY16" s="124"/>
      <c r="AZ16" s="124"/>
      <c r="BA16" s="124"/>
      <c r="BB16" s="124"/>
      <c r="BC16" s="124"/>
      <c r="BD16" s="124"/>
      <c r="BE16" s="124"/>
      <c r="BF16" s="124"/>
      <c r="BG16" s="124"/>
      <c r="BH16" s="124"/>
    </row>
    <row r="17" ht="28" customHeight="1" spans="1:60">
      <c r="A17" s="33"/>
      <c r="B17" s="40"/>
      <c r="C17" s="40"/>
      <c r="D17" s="45"/>
      <c r="E17" s="46" t="s">
        <v>11</v>
      </c>
      <c r="F17" s="46"/>
      <c r="G17" s="46"/>
      <c r="H17" s="47" t="s">
        <v>12</v>
      </c>
      <c r="I17" s="47"/>
      <c r="J17" s="47"/>
      <c r="K17" s="47"/>
      <c r="L17" s="40"/>
      <c r="M17" s="40"/>
      <c r="N17" s="40"/>
      <c r="O17" s="104"/>
      <c r="P17" s="98"/>
      <c r="AP17" s="124"/>
      <c r="AQ17" s="124"/>
      <c r="AR17" s="124"/>
      <c r="AS17" s="124"/>
      <c r="AT17" s="124"/>
      <c r="AU17" s="124"/>
      <c r="AV17" s="124"/>
      <c r="AW17" s="124"/>
      <c r="AX17" s="124"/>
      <c r="AY17" s="124"/>
      <c r="AZ17" s="124"/>
      <c r="BA17" s="124"/>
      <c r="BB17" s="124"/>
      <c r="BC17" s="124"/>
      <c r="BD17" s="124"/>
      <c r="BE17" s="124"/>
      <c r="BF17" s="124"/>
      <c r="BG17" s="124"/>
      <c r="BH17" s="124"/>
    </row>
    <row r="18" ht="28" customHeight="1" spans="1:60">
      <c r="A18" s="33"/>
      <c r="B18" s="40"/>
      <c r="C18" s="40"/>
      <c r="D18" s="45"/>
      <c r="E18" s="46" t="s">
        <v>13</v>
      </c>
      <c r="F18" s="46"/>
      <c r="G18" s="46"/>
      <c r="H18" s="47" t="s">
        <v>14</v>
      </c>
      <c r="I18" s="47"/>
      <c r="J18" s="47"/>
      <c r="K18" s="47"/>
      <c r="L18" s="40"/>
      <c r="M18" s="40"/>
      <c r="N18" s="40"/>
      <c r="O18" s="104"/>
      <c r="P18" s="98"/>
      <c r="AP18" s="124"/>
      <c r="AQ18" s="124"/>
      <c r="AR18" s="124"/>
      <c r="AS18" s="124"/>
      <c r="AT18" s="124"/>
      <c r="AU18" s="124"/>
      <c r="AV18" s="124"/>
      <c r="AW18" s="124"/>
      <c r="AX18" s="124"/>
      <c r="AY18" s="124"/>
      <c r="AZ18" s="124"/>
      <c r="BA18" s="124"/>
      <c r="BB18" s="124"/>
      <c r="BC18" s="124"/>
      <c r="BD18" s="124"/>
      <c r="BE18" s="124"/>
      <c r="BF18" s="124"/>
      <c r="BG18" s="124"/>
      <c r="BH18" s="124"/>
    </row>
    <row r="19" ht="28" customHeight="1" spans="1:60">
      <c r="A19" s="33"/>
      <c r="B19" s="40"/>
      <c r="C19" s="40"/>
      <c r="D19" s="42"/>
      <c r="E19" s="43" t="s">
        <v>15</v>
      </c>
      <c r="F19" s="43"/>
      <c r="G19" s="43"/>
      <c r="H19" s="47" t="s">
        <v>16</v>
      </c>
      <c r="I19" s="47"/>
      <c r="J19" s="47"/>
      <c r="K19" s="47"/>
      <c r="L19" s="40"/>
      <c r="M19" s="40"/>
      <c r="N19" s="40"/>
      <c r="O19" s="104"/>
      <c r="P19" s="98"/>
      <c r="AP19" s="124"/>
      <c r="AQ19" s="124"/>
      <c r="AR19" s="124"/>
      <c r="AS19" s="124"/>
      <c r="AT19" s="124"/>
      <c r="AU19" s="124"/>
      <c r="AV19" s="124"/>
      <c r="AW19" s="124"/>
      <c r="AX19" s="124"/>
      <c r="AY19" s="124"/>
      <c r="AZ19" s="124"/>
      <c r="BA19" s="124"/>
      <c r="BB19" s="124"/>
      <c r="BC19" s="124"/>
      <c r="BD19" s="124"/>
      <c r="BE19" s="124"/>
      <c r="BF19" s="124"/>
      <c r="BG19" s="124"/>
      <c r="BH19" s="124"/>
    </row>
    <row r="20" ht="28" customHeight="1" spans="1:60">
      <c r="A20" s="33"/>
      <c r="B20" s="40"/>
      <c r="C20" s="40"/>
      <c r="D20" s="42"/>
      <c r="E20" s="43" t="s">
        <v>17</v>
      </c>
      <c r="F20" s="43"/>
      <c r="G20" s="43"/>
      <c r="H20" s="48"/>
      <c r="I20" s="48"/>
      <c r="J20" s="48"/>
      <c r="K20" s="48"/>
      <c r="L20" s="40"/>
      <c r="M20" s="40"/>
      <c r="N20" s="40"/>
      <c r="O20" s="104"/>
      <c r="P20" s="98"/>
      <c r="AP20" s="124"/>
      <c r="AQ20" s="124"/>
      <c r="AR20" s="124"/>
      <c r="AS20" s="124"/>
      <c r="AT20" s="124"/>
      <c r="AU20" s="124"/>
      <c r="AV20" s="124"/>
      <c r="AW20" s="124"/>
      <c r="AX20" s="124"/>
      <c r="AY20" s="124"/>
      <c r="AZ20" s="124"/>
      <c r="BA20" s="124"/>
      <c r="BB20" s="124"/>
      <c r="BC20" s="124"/>
      <c r="BD20" s="124"/>
      <c r="BE20" s="124"/>
      <c r="BF20" s="124"/>
      <c r="BG20" s="124"/>
      <c r="BH20" s="124"/>
    </row>
    <row r="21" ht="30" customHeight="1" spans="1:60">
      <c r="A21" s="33"/>
      <c r="B21" s="40"/>
      <c r="C21" s="40"/>
      <c r="D21" s="42"/>
      <c r="E21" s="42"/>
      <c r="F21" s="42"/>
      <c r="G21" s="49"/>
      <c r="H21" s="49"/>
      <c r="I21" s="49"/>
      <c r="J21" s="105"/>
      <c r="K21" s="106"/>
      <c r="L21" s="106"/>
      <c r="M21" s="40"/>
      <c r="N21" s="40"/>
      <c r="O21" s="104"/>
      <c r="P21" s="98"/>
      <c r="AP21" s="124"/>
      <c r="AQ21" s="124"/>
      <c r="AR21" s="124"/>
      <c r="AS21" s="124"/>
      <c r="AT21" s="124"/>
      <c r="AU21" s="124"/>
      <c r="AV21" s="124"/>
      <c r="AW21" s="124"/>
      <c r="AX21" s="124"/>
      <c r="AY21" s="124"/>
      <c r="AZ21" s="124"/>
      <c r="BA21" s="124"/>
      <c r="BB21" s="124"/>
      <c r="BC21" s="124"/>
      <c r="BD21" s="124"/>
      <c r="BE21" s="124"/>
      <c r="BF21" s="124"/>
      <c r="BG21" s="124"/>
      <c r="BH21" s="124"/>
    </row>
    <row r="22" ht="19.5" customHeight="1" spans="1:60">
      <c r="A22" s="33"/>
      <c r="B22" s="50"/>
      <c r="C22" s="50"/>
      <c r="D22" s="51"/>
      <c r="E22" s="51"/>
      <c r="F22" s="51"/>
      <c r="G22" s="52"/>
      <c r="H22" s="52"/>
      <c r="I22" s="52"/>
      <c r="J22" s="105"/>
      <c r="K22" s="107"/>
      <c r="L22" s="107"/>
      <c r="M22" s="40"/>
      <c r="N22" s="40"/>
      <c r="O22" s="99"/>
      <c r="P22" s="98"/>
      <c r="AP22" s="124"/>
      <c r="AQ22" s="124"/>
      <c r="AR22" s="124"/>
      <c r="AS22" s="124"/>
      <c r="AT22" s="124"/>
      <c r="AU22" s="124"/>
      <c r="AV22" s="124"/>
      <c r="AW22" s="124"/>
      <c r="AX22" s="124"/>
      <c r="AY22" s="124"/>
      <c r="AZ22" s="124"/>
      <c r="BA22" s="124"/>
      <c r="BB22" s="124"/>
      <c r="BC22" s="124"/>
      <c r="BD22" s="124"/>
      <c r="BE22" s="124"/>
      <c r="BF22" s="124"/>
      <c r="BG22" s="124"/>
      <c r="BH22" s="124"/>
    </row>
    <row r="23" ht="21" customHeight="1" spans="1:60">
      <c r="A23" s="33"/>
      <c r="B23" s="53" t="s">
        <v>18</v>
      </c>
      <c r="C23" s="53"/>
      <c r="D23" s="53"/>
      <c r="E23" s="53"/>
      <c r="F23" s="53"/>
      <c r="G23" s="53"/>
      <c r="H23" s="53"/>
      <c r="I23" s="53"/>
      <c r="J23" s="53"/>
      <c r="K23" s="53"/>
      <c r="L23" s="53"/>
      <c r="M23" s="53"/>
      <c r="N23" s="53"/>
      <c r="O23" s="53"/>
      <c r="P23" s="98"/>
      <c r="AP23" s="124"/>
      <c r="AQ23" s="124"/>
      <c r="AR23" s="124"/>
      <c r="AS23" s="124"/>
      <c r="AT23" s="124"/>
      <c r="AU23" s="124"/>
      <c r="AV23" s="124"/>
      <c r="AW23" s="124"/>
      <c r="AX23" s="124"/>
      <c r="AY23" s="124"/>
      <c r="AZ23" s="124"/>
      <c r="BA23" s="124"/>
      <c r="BB23" s="124"/>
      <c r="BC23" s="124"/>
      <c r="BD23" s="124"/>
      <c r="BE23" s="124"/>
      <c r="BF23" s="124"/>
      <c r="BG23" s="124"/>
      <c r="BH23" s="124"/>
    </row>
    <row r="24" ht="15" customHeight="1" spans="1:60">
      <c r="A24" s="33"/>
      <c r="B24" s="54"/>
      <c r="C24" s="55"/>
      <c r="D24" s="55"/>
      <c r="E24" s="54"/>
      <c r="F24" s="56"/>
      <c r="G24" s="54"/>
      <c r="H24" s="57"/>
      <c r="I24" s="57"/>
      <c r="J24" s="108"/>
      <c r="K24" s="109"/>
      <c r="L24" s="109"/>
      <c r="M24" s="110"/>
      <c r="N24" s="110"/>
      <c r="O24" s="101"/>
      <c r="P24" s="98"/>
      <c r="AP24" s="124"/>
      <c r="AQ24" s="124"/>
      <c r="AR24" s="124"/>
      <c r="AS24" s="124"/>
      <c r="AT24" s="124"/>
      <c r="AU24" s="124"/>
      <c r="AV24" s="124"/>
      <c r="AW24" s="124"/>
      <c r="AX24" s="124"/>
      <c r="AY24" s="124"/>
      <c r="AZ24" s="124"/>
      <c r="BA24" s="124"/>
      <c r="BB24" s="124"/>
      <c r="BC24" s="124"/>
      <c r="BD24" s="124"/>
      <c r="BE24" s="124"/>
      <c r="BF24" s="124"/>
      <c r="BG24" s="124"/>
      <c r="BH24" s="124"/>
    </row>
    <row r="25" ht="29.3" customHeight="1" spans="1:60">
      <c r="A25" s="33"/>
      <c r="B25" s="58" t="s">
        <v>19</v>
      </c>
      <c r="C25" s="59">
        <f>H15</f>
        <v>0</v>
      </c>
      <c r="D25" s="60"/>
      <c r="E25" s="58" t="s">
        <v>20</v>
      </c>
      <c r="F25" s="61"/>
      <c r="G25" s="62"/>
      <c r="H25" s="63" t="s">
        <v>21</v>
      </c>
      <c r="I25" s="77"/>
      <c r="J25" s="111"/>
      <c r="K25" s="111"/>
      <c r="L25" s="58" t="s">
        <v>22</v>
      </c>
      <c r="M25" s="58"/>
      <c r="N25" s="75" t="str">
        <f ca="1">IF(J25&lt;&gt;"",DATEDIF(J25,TODAY(),"y"),"")</f>
        <v/>
      </c>
      <c r="O25" s="77"/>
      <c r="AP25" s="124"/>
      <c r="AQ25" s="124"/>
      <c r="AR25" s="124"/>
      <c r="AS25" s="124"/>
      <c r="AT25" s="124"/>
      <c r="AU25" s="124"/>
      <c r="AV25" s="124"/>
      <c r="AW25" s="124"/>
      <c r="AX25" s="124"/>
      <c r="AY25" s="124"/>
      <c r="AZ25" s="124"/>
      <c r="BA25" s="124"/>
      <c r="BB25" s="124"/>
      <c r="BC25" s="124"/>
      <c r="BD25" s="124"/>
      <c r="BE25" s="124"/>
      <c r="BF25" s="124"/>
      <c r="BG25" s="124"/>
      <c r="BH25" s="124"/>
    </row>
    <row r="26" ht="29.3" customHeight="1" spans="1:60">
      <c r="A26" s="33"/>
      <c r="B26" s="64" t="s">
        <v>23</v>
      </c>
      <c r="C26" s="64"/>
      <c r="D26" s="61"/>
      <c r="E26" s="65"/>
      <c r="F26" s="64" t="s">
        <v>24</v>
      </c>
      <c r="G26" s="64"/>
      <c r="H26" s="66"/>
      <c r="I26" s="112"/>
      <c r="J26" s="76" t="s">
        <v>25</v>
      </c>
      <c r="K26" s="77"/>
      <c r="L26" s="113"/>
      <c r="M26" s="113"/>
      <c r="N26" s="113"/>
      <c r="O26" s="113"/>
      <c r="P26" s="114" t="s">
        <v>26</v>
      </c>
      <c r="Q26" s="114" t="s">
        <v>27</v>
      </c>
      <c r="R26" s="121"/>
      <c r="S26" s="114"/>
      <c r="AP26" s="124"/>
      <c r="AQ26" s="124"/>
      <c r="AR26" s="124"/>
      <c r="AS26" s="124"/>
      <c r="AT26" s="124"/>
      <c r="AU26" s="124"/>
      <c r="AV26" s="124"/>
      <c r="AW26" s="124"/>
      <c r="AX26" s="124"/>
      <c r="AY26" s="124"/>
      <c r="AZ26" s="124"/>
      <c r="BA26" s="124"/>
      <c r="BB26" s="124"/>
      <c r="BC26" s="124"/>
      <c r="BD26" s="124"/>
      <c r="BE26" s="124"/>
      <c r="BF26" s="124"/>
      <c r="BG26" s="124"/>
      <c r="BH26" s="124"/>
    </row>
    <row r="27" ht="29.3" customHeight="1" spans="1:60">
      <c r="A27" s="33"/>
      <c r="B27" s="63" t="s">
        <v>28</v>
      </c>
      <c r="C27" s="67"/>
      <c r="D27" s="68"/>
      <c r="E27" s="69"/>
      <c r="F27" s="64" t="s">
        <v>29</v>
      </c>
      <c r="G27" s="64"/>
      <c r="H27" s="70" t="str">
        <f ca="1">IF(D27&lt;&gt;"",IF(MONTH(D27)&gt;MONTH(TODAY()),YEAR(TODAY())-YEAR(D27),YEAR(TODAY())+1-YEAR(D27)),"")</f>
        <v/>
      </c>
      <c r="I27" s="115" t="str">
        <f>IF(D27&lt;&gt;"","年","")</f>
        <v/>
      </c>
      <c r="J27" s="75" t="s">
        <v>30</v>
      </c>
      <c r="K27" s="77"/>
      <c r="L27" s="75" t="str">
        <f>IF(H14&lt;&gt;"",H14,"")</f>
        <v/>
      </c>
      <c r="M27" s="76"/>
      <c r="N27" s="76"/>
      <c r="O27" s="77"/>
      <c r="P27" s="30" t="str">
        <f ca="1">IF(OR(D26="博士",AND(D26="硕士",AND(H27&lt;&gt;"",H27&gt;=5)),AND(OR(D26="学士",D26="无学位（本科毕业）"),AND(H27&lt;&gt;"",H27&gt;=6))),"满足","不满足")</f>
        <v>不满足</v>
      </c>
      <c r="Q27" s="30" t="str">
        <f ca="1">IF(OR(AND(D26="博士",AND(N28&lt;&gt;"",N28&gt;=2)),AND(D26="硕士",AND(N28&lt;&gt;"",N28&gt;=5)),AND(N28&lt;&gt;"",N28&gt;=6)),"满足","不满足")</f>
        <v>不满足</v>
      </c>
      <c r="AP27" s="124"/>
      <c r="AQ27" s="124"/>
      <c r="AR27" s="124"/>
      <c r="AS27" s="124"/>
      <c r="AT27" s="124"/>
      <c r="AU27" s="124"/>
      <c r="AV27" s="124"/>
      <c r="AW27" s="124"/>
      <c r="AX27" s="124"/>
      <c r="AY27" s="124"/>
      <c r="AZ27" s="124"/>
      <c r="BA27" s="124"/>
      <c r="BB27" s="124"/>
      <c r="BC27" s="124"/>
      <c r="BD27" s="124"/>
      <c r="BE27" s="124"/>
      <c r="BF27" s="124"/>
      <c r="BG27" s="124"/>
      <c r="BH27" s="124"/>
    </row>
    <row r="28" ht="29.3" customHeight="1" spans="1:60">
      <c r="A28" s="33"/>
      <c r="B28" s="58" t="s">
        <v>31</v>
      </c>
      <c r="C28" s="58"/>
      <c r="D28" s="58" t="str">
        <f>IF(H16&lt;&gt;"",H16,"")</f>
        <v/>
      </c>
      <c r="E28" s="58"/>
      <c r="F28" s="58"/>
      <c r="G28" s="58" t="s">
        <v>32</v>
      </c>
      <c r="H28" s="58"/>
      <c r="I28" s="68"/>
      <c r="J28" s="69"/>
      <c r="K28" s="58" t="s">
        <v>27</v>
      </c>
      <c r="L28" s="58"/>
      <c r="M28" s="58"/>
      <c r="N28" s="116" t="str">
        <f ca="1">IF(I28&lt;&gt;"",IF(MONTH(I28)&gt;MONTH(TODAY()),YEAR(TODAY())-YEAR(I28),YEAR(TODAY())+1-YEAR(I28)),"")</f>
        <v/>
      </c>
      <c r="O28" s="115" t="str">
        <f ca="1">IF(N28&lt;&gt;"","年","")</f>
        <v/>
      </c>
      <c r="AP28" s="124"/>
      <c r="AQ28" s="124"/>
      <c r="AR28" s="124"/>
      <c r="AS28" s="124"/>
      <c r="AT28" s="124"/>
      <c r="AU28" s="124"/>
      <c r="AV28" s="124"/>
      <c r="AW28" s="124"/>
      <c r="AX28" s="124"/>
      <c r="AY28" s="124"/>
      <c r="AZ28" s="124"/>
      <c r="BA28" s="124"/>
      <c r="BB28" s="124"/>
      <c r="BC28" s="124"/>
      <c r="BD28" s="124"/>
      <c r="BE28" s="124"/>
      <c r="BF28" s="124"/>
      <c r="BG28" s="124"/>
      <c r="BH28" s="124"/>
    </row>
    <row r="29" ht="29.3" customHeight="1" spans="1:60">
      <c r="A29" s="33"/>
      <c r="B29" s="58" t="s">
        <v>33</v>
      </c>
      <c r="C29" s="58"/>
      <c r="D29" s="71"/>
      <c r="E29" s="72"/>
      <c r="F29" s="72"/>
      <c r="G29" s="72"/>
      <c r="H29" s="73"/>
      <c r="I29" s="58" t="s">
        <v>34</v>
      </c>
      <c r="J29" s="58"/>
      <c r="K29" s="71"/>
      <c r="L29" s="72"/>
      <c r="M29" s="72"/>
      <c r="N29" s="72"/>
      <c r="O29" s="73"/>
      <c r="AP29" s="124"/>
      <c r="AQ29" s="124"/>
      <c r="AR29" s="124"/>
      <c r="AS29" s="124"/>
      <c r="AT29" s="124"/>
      <c r="AU29" s="124"/>
      <c r="AV29" s="124"/>
      <c r="AW29" s="124"/>
      <c r="AX29" s="124"/>
      <c r="AY29" s="124"/>
      <c r="AZ29" s="124"/>
      <c r="BA29" s="124"/>
      <c r="BB29" s="124"/>
      <c r="BC29" s="124"/>
      <c r="BD29" s="124"/>
      <c r="BE29" s="124"/>
      <c r="BF29" s="124"/>
      <c r="BG29" s="124"/>
      <c r="BH29" s="124"/>
    </row>
    <row r="30" ht="29.3" customHeight="1" spans="1:60">
      <c r="A30" s="33"/>
      <c r="B30" s="74" t="s">
        <v>35</v>
      </c>
      <c r="C30" s="74"/>
      <c r="D30" s="74"/>
      <c r="E30" s="74"/>
      <c r="F30" s="74"/>
      <c r="G30" s="74"/>
      <c r="H30" s="74"/>
      <c r="I30" s="74"/>
      <c r="J30" s="74"/>
      <c r="K30" s="74"/>
      <c r="L30" s="74"/>
      <c r="M30" s="74"/>
      <c r="N30" s="74"/>
      <c r="O30" s="74"/>
      <c r="AP30" s="124"/>
      <c r="AQ30" s="124"/>
      <c r="AR30" s="124"/>
      <c r="AS30" s="124"/>
      <c r="AT30" s="124"/>
      <c r="AU30" s="124"/>
      <c r="AV30" s="124"/>
      <c r="AW30" s="124"/>
      <c r="AX30" s="124"/>
      <c r="AY30" s="124"/>
      <c r="AZ30" s="124"/>
      <c r="BA30" s="124"/>
      <c r="BB30" s="124"/>
      <c r="BC30" s="124"/>
      <c r="BD30" s="124"/>
      <c r="BE30" s="124"/>
      <c r="BF30" s="124"/>
      <c r="BG30" s="124"/>
      <c r="BH30" s="124"/>
    </row>
    <row r="31" ht="29.3" customHeight="1" spans="1:60">
      <c r="A31" s="33"/>
      <c r="B31" s="58" t="s">
        <v>36</v>
      </c>
      <c r="C31" s="75" t="s">
        <v>37</v>
      </c>
      <c r="D31" s="76"/>
      <c r="E31" s="76"/>
      <c r="F31" s="76"/>
      <c r="G31" s="77"/>
      <c r="H31" s="75" t="s">
        <v>38</v>
      </c>
      <c r="I31" s="76"/>
      <c r="J31" s="76"/>
      <c r="K31" s="76"/>
      <c r="L31" s="76"/>
      <c r="M31" s="77"/>
      <c r="N31" s="58" t="s">
        <v>39</v>
      </c>
      <c r="O31" s="58" t="s">
        <v>40</v>
      </c>
      <c r="AP31" s="124"/>
      <c r="AQ31" s="124"/>
      <c r="AR31" s="124"/>
      <c r="AS31" s="124"/>
      <c r="AT31" s="124"/>
      <c r="AU31" s="124"/>
      <c r="AV31" s="124"/>
      <c r="AW31" s="124"/>
      <c r="AX31" s="124"/>
      <c r="AY31" s="124"/>
      <c r="AZ31" s="124"/>
      <c r="BA31" s="124"/>
      <c r="BB31" s="124"/>
      <c r="BC31" s="124"/>
      <c r="BD31" s="124"/>
      <c r="BE31" s="124"/>
      <c r="BF31" s="124"/>
      <c r="BG31" s="124"/>
      <c r="BH31" s="124"/>
    </row>
    <row r="32" ht="29.3" customHeight="1" spans="1:60">
      <c r="A32" s="33"/>
      <c r="B32" s="58"/>
      <c r="C32" s="78"/>
      <c r="D32" s="79"/>
      <c r="E32" s="79"/>
      <c r="F32" s="79"/>
      <c r="G32" s="80"/>
      <c r="H32" s="78"/>
      <c r="I32" s="79"/>
      <c r="J32" s="79"/>
      <c r="K32" s="79"/>
      <c r="L32" s="79"/>
      <c r="M32" s="80"/>
      <c r="N32" s="117"/>
      <c r="O32" s="117"/>
      <c r="AP32" s="124"/>
      <c r="AQ32" s="124"/>
      <c r="AR32" s="124"/>
      <c r="AS32" s="124"/>
      <c r="AT32" s="124"/>
      <c r="AU32" s="124"/>
      <c r="AV32" s="124"/>
      <c r="AW32" s="124"/>
      <c r="AX32" s="124"/>
      <c r="AY32" s="124"/>
      <c r="AZ32" s="124"/>
      <c r="BA32" s="124"/>
      <c r="BB32" s="124"/>
      <c r="BC32" s="124"/>
      <c r="BD32" s="124"/>
      <c r="BE32" s="124"/>
      <c r="BF32" s="124"/>
      <c r="BG32" s="124"/>
      <c r="BH32" s="124"/>
    </row>
    <row r="33" ht="29.3" customHeight="1" spans="1:60">
      <c r="A33" s="33"/>
      <c r="B33" s="58"/>
      <c r="C33" s="78"/>
      <c r="D33" s="79"/>
      <c r="E33" s="79"/>
      <c r="F33" s="79"/>
      <c r="G33" s="80"/>
      <c r="H33" s="78"/>
      <c r="I33" s="79"/>
      <c r="J33" s="79"/>
      <c r="K33" s="79"/>
      <c r="L33" s="79"/>
      <c r="M33" s="80"/>
      <c r="N33" s="117"/>
      <c r="O33" s="30"/>
      <c r="AP33" s="124"/>
      <c r="AQ33" s="124"/>
      <c r="AR33" s="124"/>
      <c r="AS33" s="124"/>
      <c r="AT33" s="124"/>
      <c r="AU33" s="124"/>
      <c r="AV33" s="124"/>
      <c r="AW33" s="124"/>
      <c r="AX33" s="124"/>
      <c r="AY33" s="124"/>
      <c r="AZ33" s="124"/>
      <c r="BA33" s="124"/>
      <c r="BB33" s="124"/>
      <c r="BC33" s="124"/>
      <c r="BD33" s="124"/>
      <c r="BE33" s="124"/>
      <c r="BF33" s="124"/>
      <c r="BG33" s="124"/>
      <c r="BH33" s="124"/>
    </row>
    <row r="34" ht="29.3" customHeight="1" spans="1:60">
      <c r="A34" s="33"/>
      <c r="B34" s="64" t="s">
        <v>41</v>
      </c>
      <c r="C34" s="81" t="str">
        <f ca="1">CONCATENATE(YEAR(TODAY())-3,"年度下半年")</f>
        <v>2020年度下半年</v>
      </c>
      <c r="D34" s="82"/>
      <c r="E34" s="83" t="str">
        <f ca="1">CONCATENATE(YEAR(TODAY())-2,"年度上半年")</f>
        <v>2021年度上半年</v>
      </c>
      <c r="F34" s="81" t="str">
        <f ca="1">CONCATENATE(YEAR(TODAY())-2,"年度下半年")</f>
        <v>2021年度下半年</v>
      </c>
      <c r="G34" s="84"/>
      <c r="H34" s="81" t="str">
        <f ca="1">CONCATENATE(YEAR(TODAY())-1,"年度上半年")</f>
        <v>2022年度上半年</v>
      </c>
      <c r="I34" s="84"/>
      <c r="J34" s="58" t="str">
        <f ca="1">CONCATENATE(YEAR(TODAY())-1,"年度下半年")</f>
        <v>2022年度下半年</v>
      </c>
      <c r="K34" s="58"/>
      <c r="L34" s="76" t="str">
        <f ca="1">CONCATENATE(YEAR(TODAY()),"年度上半年")</f>
        <v>2023年度上半年</v>
      </c>
      <c r="M34" s="77"/>
      <c r="N34" s="58" t="s">
        <v>39</v>
      </c>
      <c r="O34" s="58" t="s">
        <v>40</v>
      </c>
      <c r="P34" s="30" t="s">
        <v>42</v>
      </c>
      <c r="Q34" s="30" t="s">
        <v>43</v>
      </c>
      <c r="R34" s="30" t="s">
        <v>44</v>
      </c>
      <c r="S34" s="30" t="s">
        <v>45</v>
      </c>
      <c r="AP34" s="124"/>
      <c r="AQ34" s="124"/>
      <c r="AR34" s="124"/>
      <c r="AS34" s="124"/>
      <c r="AT34" s="124"/>
      <c r="AU34" s="124"/>
      <c r="AV34" s="124"/>
      <c r="AW34" s="124"/>
      <c r="AX34" s="124"/>
      <c r="AY34" s="124"/>
      <c r="AZ34" s="124"/>
      <c r="BA34" s="124"/>
      <c r="BB34" s="124"/>
      <c r="BC34" s="124"/>
      <c r="BD34" s="124"/>
      <c r="BE34" s="124"/>
      <c r="BF34" s="124"/>
      <c r="BG34" s="124"/>
      <c r="BH34" s="124"/>
    </row>
    <row r="35" ht="29.3" customHeight="1" spans="1:60">
      <c r="A35" s="33"/>
      <c r="B35" s="58"/>
      <c r="C35" s="85"/>
      <c r="D35" s="86"/>
      <c r="E35" s="87"/>
      <c r="F35" s="85"/>
      <c r="G35" s="86"/>
      <c r="H35" s="85"/>
      <c r="I35" s="86"/>
      <c r="J35" s="85"/>
      <c r="K35" s="86"/>
      <c r="L35" s="85"/>
      <c r="M35" s="86"/>
      <c r="N35" s="118"/>
      <c r="O35" s="118"/>
      <c r="P35" s="30">
        <f>COUNTIF(C35:M35,"A档")</f>
        <v>0</v>
      </c>
      <c r="Q35" s="30">
        <f>COUNTIF(C35:M35,"B档")</f>
        <v>0</v>
      </c>
      <c r="R35" s="30">
        <f>COUNTIF(C35:M35,"C档")</f>
        <v>0</v>
      </c>
      <c r="S35" s="30">
        <f>COUNTIF(C35:M35,"D档")</f>
        <v>0</v>
      </c>
      <c r="AP35" s="124"/>
      <c r="AQ35" s="124"/>
      <c r="AR35" s="124"/>
      <c r="AS35" s="124"/>
      <c r="AT35" s="124"/>
      <c r="AU35" s="124"/>
      <c r="AV35" s="124"/>
      <c r="AW35" s="124"/>
      <c r="AX35" s="124"/>
      <c r="AY35" s="124"/>
      <c r="AZ35" s="124"/>
      <c r="BA35" s="124"/>
      <c r="BB35" s="124"/>
      <c r="BC35" s="124"/>
      <c r="BD35" s="124"/>
      <c r="BE35" s="124"/>
      <c r="BF35" s="124"/>
      <c r="BG35" s="124"/>
      <c r="BH35" s="124"/>
    </row>
    <row r="36" ht="29.3" customHeight="1" spans="1:60">
      <c r="A36" s="33"/>
      <c r="B36" s="64" t="s">
        <v>46</v>
      </c>
      <c r="C36" s="81" t="s">
        <v>47</v>
      </c>
      <c r="D36" s="82"/>
      <c r="E36" s="82"/>
      <c r="F36" s="88"/>
      <c r="G36" s="81" t="s">
        <v>48</v>
      </c>
      <c r="H36" s="82"/>
      <c r="I36" s="88"/>
      <c r="J36" s="81" t="s">
        <v>49</v>
      </c>
      <c r="K36" s="82"/>
      <c r="L36" s="82"/>
      <c r="M36" s="88"/>
      <c r="N36" s="58" t="s">
        <v>39</v>
      </c>
      <c r="O36" s="58" t="s">
        <v>40</v>
      </c>
      <c r="P36" s="30" t="s">
        <v>50</v>
      </c>
      <c r="AP36" s="124"/>
      <c r="AQ36" s="124"/>
      <c r="AR36" s="124"/>
      <c r="AS36" s="124"/>
      <c r="AT36" s="124"/>
      <c r="AU36" s="124"/>
      <c r="AV36" s="124"/>
      <c r="AW36" s="124"/>
      <c r="AX36" s="124"/>
      <c r="AY36" s="124"/>
      <c r="AZ36" s="124"/>
      <c r="BA36" s="124"/>
      <c r="BB36" s="124"/>
      <c r="BC36" s="124"/>
      <c r="BD36" s="124"/>
      <c r="BE36" s="124"/>
      <c r="BF36" s="124"/>
      <c r="BG36" s="124"/>
      <c r="BH36" s="124"/>
    </row>
    <row r="37" ht="29.3" customHeight="1" spans="1:60">
      <c r="A37" s="33"/>
      <c r="B37" s="64"/>
      <c r="C37" s="87"/>
      <c r="D37" s="87"/>
      <c r="E37" s="87"/>
      <c r="F37" s="87"/>
      <c r="G37" s="87"/>
      <c r="H37" s="87"/>
      <c r="I37" s="87"/>
      <c r="J37" s="87"/>
      <c r="K37" s="87"/>
      <c r="L37" s="87"/>
      <c r="M37" s="87"/>
      <c r="N37" s="118"/>
      <c r="O37" s="118"/>
      <c r="P37" s="30">
        <f>COUNTA(C37:F39)</f>
        <v>0</v>
      </c>
      <c r="AP37" s="124"/>
      <c r="AQ37" s="124"/>
      <c r="AR37" s="124"/>
      <c r="AS37" s="124"/>
      <c r="AT37" s="124"/>
      <c r="AU37" s="124"/>
      <c r="AV37" s="124"/>
      <c r="AW37" s="124"/>
      <c r="AX37" s="124"/>
      <c r="AY37" s="124"/>
      <c r="AZ37" s="124"/>
      <c r="BA37" s="124"/>
      <c r="BB37" s="124"/>
      <c r="BC37" s="124"/>
      <c r="BD37" s="124"/>
      <c r="BE37" s="124"/>
      <c r="BF37" s="124"/>
      <c r="BG37" s="124"/>
      <c r="BH37" s="124"/>
    </row>
    <row r="38" ht="29.3" customHeight="1" spans="1:60">
      <c r="A38" s="33"/>
      <c r="B38" s="64"/>
      <c r="C38" s="85"/>
      <c r="D38" s="89"/>
      <c r="E38" s="89"/>
      <c r="F38" s="86"/>
      <c r="G38" s="85"/>
      <c r="H38" s="89"/>
      <c r="I38" s="86"/>
      <c r="J38" s="85"/>
      <c r="K38" s="89"/>
      <c r="L38" s="89"/>
      <c r="M38" s="86"/>
      <c r="N38" s="118"/>
      <c r="O38" s="118"/>
      <c r="AP38" s="124"/>
      <c r="AQ38" s="124"/>
      <c r="AR38" s="124"/>
      <c r="AS38" s="124"/>
      <c r="AT38" s="124"/>
      <c r="AU38" s="124"/>
      <c r="AV38" s="124"/>
      <c r="AW38" s="124"/>
      <c r="AX38" s="124"/>
      <c r="AY38" s="124"/>
      <c r="AZ38" s="124"/>
      <c r="BA38" s="124"/>
      <c r="BB38" s="124"/>
      <c r="BC38" s="124"/>
      <c r="BD38" s="124"/>
      <c r="BE38" s="124"/>
      <c r="BF38" s="124"/>
      <c r="BG38" s="124"/>
      <c r="BH38" s="124"/>
    </row>
    <row r="39" ht="29.3" customHeight="1" spans="1:60">
      <c r="A39" s="33"/>
      <c r="B39" s="64"/>
      <c r="C39" s="85"/>
      <c r="D39" s="89"/>
      <c r="E39" s="89"/>
      <c r="F39" s="86"/>
      <c r="G39" s="85"/>
      <c r="H39" s="89"/>
      <c r="I39" s="86"/>
      <c r="J39" s="85"/>
      <c r="K39" s="89"/>
      <c r="L39" s="89"/>
      <c r="M39" s="86"/>
      <c r="N39" s="118"/>
      <c r="O39" s="118"/>
      <c r="AP39" s="124"/>
      <c r="AQ39" s="124"/>
      <c r="AR39" s="124"/>
      <c r="AS39" s="124"/>
      <c r="AT39" s="124"/>
      <c r="AU39" s="124"/>
      <c r="AV39" s="124"/>
      <c r="AW39" s="124"/>
      <c r="AX39" s="124"/>
      <c r="AY39" s="124"/>
      <c r="AZ39" s="124"/>
      <c r="BA39" s="124"/>
      <c r="BB39" s="124"/>
      <c r="BC39" s="124"/>
      <c r="BD39" s="124"/>
      <c r="BE39" s="124"/>
      <c r="BF39" s="124"/>
      <c r="BG39" s="124"/>
      <c r="BH39" s="124"/>
    </row>
    <row r="40" ht="29.3" customHeight="1" spans="1:60">
      <c r="A40" s="33"/>
      <c r="B40" s="64"/>
      <c r="C40" s="81" t="s">
        <v>51</v>
      </c>
      <c r="D40" s="82"/>
      <c r="E40" s="82"/>
      <c r="F40" s="88"/>
      <c r="G40" s="81" t="s">
        <v>52</v>
      </c>
      <c r="H40" s="82"/>
      <c r="I40" s="88"/>
      <c r="J40" s="81" t="s">
        <v>53</v>
      </c>
      <c r="K40" s="82"/>
      <c r="L40" s="82"/>
      <c r="M40" s="88"/>
      <c r="N40" s="58" t="s">
        <v>39</v>
      </c>
      <c r="O40" s="58" t="s">
        <v>40</v>
      </c>
      <c r="P40" s="30" t="s">
        <v>54</v>
      </c>
      <c r="AP40" s="124"/>
      <c r="AQ40" s="124"/>
      <c r="AR40" s="124"/>
      <c r="AS40" s="124"/>
      <c r="AT40" s="124"/>
      <c r="AU40" s="124"/>
      <c r="AV40" s="124"/>
      <c r="AW40" s="124"/>
      <c r="AX40" s="124"/>
      <c r="AY40" s="124"/>
      <c r="AZ40" s="124"/>
      <c r="BA40" s="124"/>
      <c r="BB40" s="124"/>
      <c r="BC40" s="124"/>
      <c r="BD40" s="124"/>
      <c r="BE40" s="124"/>
      <c r="BF40" s="124"/>
      <c r="BG40" s="124"/>
      <c r="BH40" s="124"/>
    </row>
    <row r="41" ht="29.3" customHeight="1" spans="1:60">
      <c r="A41" s="33"/>
      <c r="B41" s="64"/>
      <c r="C41" s="87"/>
      <c r="D41" s="87"/>
      <c r="E41" s="87"/>
      <c r="F41" s="87"/>
      <c r="G41" s="87"/>
      <c r="H41" s="87"/>
      <c r="I41" s="87"/>
      <c r="J41" s="87"/>
      <c r="K41" s="87"/>
      <c r="L41" s="87"/>
      <c r="M41" s="87"/>
      <c r="N41" s="118"/>
      <c r="O41" s="118"/>
      <c r="P41" s="30">
        <f>SUM(J41:M45)</f>
        <v>0</v>
      </c>
      <c r="AP41" s="124"/>
      <c r="AQ41" s="124"/>
      <c r="AR41" s="124"/>
      <c r="AS41" s="124"/>
      <c r="AT41" s="124"/>
      <c r="AU41" s="124"/>
      <c r="AV41" s="124"/>
      <c r="AW41" s="124"/>
      <c r="AX41" s="124"/>
      <c r="AY41" s="124"/>
      <c r="AZ41" s="124"/>
      <c r="BA41" s="124"/>
      <c r="BB41" s="124"/>
      <c r="BC41" s="124"/>
      <c r="BD41" s="124"/>
      <c r="BE41" s="124"/>
      <c r="BF41" s="124"/>
      <c r="BG41" s="124"/>
      <c r="BH41" s="124"/>
    </row>
    <row r="42" ht="29.3" customHeight="1" spans="1:60">
      <c r="A42" s="33"/>
      <c r="B42" s="58"/>
      <c r="C42" s="87"/>
      <c r="D42" s="87"/>
      <c r="E42" s="87"/>
      <c r="F42" s="87"/>
      <c r="G42" s="87"/>
      <c r="H42" s="87"/>
      <c r="I42" s="87"/>
      <c r="J42" s="87"/>
      <c r="K42" s="87"/>
      <c r="L42" s="87"/>
      <c r="M42" s="87"/>
      <c r="N42" s="118"/>
      <c r="O42" s="118"/>
      <c r="AP42" s="124"/>
      <c r="AQ42" s="124"/>
      <c r="AR42" s="124"/>
      <c r="AS42" s="124"/>
      <c r="AT42" s="124"/>
      <c r="AU42" s="124"/>
      <c r="AV42" s="124"/>
      <c r="AW42" s="124"/>
      <c r="AX42" s="124"/>
      <c r="AY42" s="124"/>
      <c r="AZ42" s="124"/>
      <c r="BA42" s="124"/>
      <c r="BB42" s="124"/>
      <c r="BC42" s="124"/>
      <c r="BD42" s="124"/>
      <c r="BE42" s="124"/>
      <c r="BF42" s="124"/>
      <c r="BG42" s="124"/>
      <c r="BH42" s="124"/>
    </row>
    <row r="43" ht="29.3" customHeight="1" spans="1:60">
      <c r="A43" s="33"/>
      <c r="B43" s="58"/>
      <c r="C43" s="87"/>
      <c r="D43" s="87"/>
      <c r="E43" s="87"/>
      <c r="F43" s="87"/>
      <c r="G43" s="87"/>
      <c r="H43" s="87"/>
      <c r="I43" s="87"/>
      <c r="J43" s="87"/>
      <c r="K43" s="87"/>
      <c r="L43" s="87"/>
      <c r="M43" s="87"/>
      <c r="N43" s="118"/>
      <c r="O43" s="118"/>
      <c r="AP43" s="124"/>
      <c r="AQ43" s="124"/>
      <c r="AR43" s="124"/>
      <c r="AS43" s="124"/>
      <c r="AT43" s="124"/>
      <c r="AU43" s="124"/>
      <c r="AV43" s="124"/>
      <c r="AW43" s="124"/>
      <c r="AX43" s="124"/>
      <c r="AY43" s="124"/>
      <c r="AZ43" s="124"/>
      <c r="BA43" s="124"/>
      <c r="BB43" s="124"/>
      <c r="BC43" s="124"/>
      <c r="BD43" s="124"/>
      <c r="BE43" s="124"/>
      <c r="BF43" s="124"/>
      <c r="BG43" s="124"/>
      <c r="BH43" s="124"/>
    </row>
    <row r="44" ht="29.3" customHeight="1" spans="1:60">
      <c r="A44" s="33"/>
      <c r="B44" s="58"/>
      <c r="C44" s="87"/>
      <c r="D44" s="87"/>
      <c r="E44" s="87"/>
      <c r="F44" s="87"/>
      <c r="G44" s="87"/>
      <c r="H44" s="87"/>
      <c r="I44" s="87"/>
      <c r="J44" s="87"/>
      <c r="K44" s="87"/>
      <c r="L44" s="87"/>
      <c r="M44" s="87"/>
      <c r="N44" s="118"/>
      <c r="O44" s="118"/>
      <c r="AP44" s="124"/>
      <c r="AQ44" s="124"/>
      <c r="AR44" s="124"/>
      <c r="AS44" s="124"/>
      <c r="AT44" s="124"/>
      <c r="AU44" s="124"/>
      <c r="AV44" s="124"/>
      <c r="AW44" s="124"/>
      <c r="AX44" s="124"/>
      <c r="AY44" s="124"/>
      <c r="AZ44" s="124"/>
      <c r="BA44" s="124"/>
      <c r="BB44" s="124"/>
      <c r="BC44" s="124"/>
      <c r="BD44" s="124"/>
      <c r="BE44" s="124"/>
      <c r="BF44" s="124"/>
      <c r="BG44" s="124"/>
      <c r="BH44" s="124"/>
    </row>
    <row r="45" ht="29.3" customHeight="1" spans="1:60">
      <c r="A45" s="33"/>
      <c r="B45" s="58"/>
      <c r="C45" s="87"/>
      <c r="D45" s="87"/>
      <c r="E45" s="87"/>
      <c r="F45" s="87"/>
      <c r="G45" s="87"/>
      <c r="H45" s="87"/>
      <c r="I45" s="87"/>
      <c r="J45" s="87"/>
      <c r="K45" s="87"/>
      <c r="L45" s="87"/>
      <c r="M45" s="87"/>
      <c r="N45" s="118"/>
      <c r="O45" s="118"/>
      <c r="AP45" s="124"/>
      <c r="AQ45" s="124"/>
      <c r="AR45" s="124"/>
      <c r="AS45" s="124"/>
      <c r="AT45" s="124"/>
      <c r="AU45" s="124"/>
      <c r="AV45" s="124"/>
      <c r="AW45" s="124"/>
      <c r="AX45" s="124"/>
      <c r="AY45" s="124"/>
      <c r="AZ45" s="124"/>
      <c r="BA45" s="124"/>
      <c r="BB45" s="124"/>
      <c r="BC45" s="124"/>
      <c r="BD45" s="124"/>
      <c r="BE45" s="124"/>
      <c r="BF45" s="124"/>
      <c r="BG45" s="124"/>
      <c r="BH45" s="124"/>
    </row>
    <row r="46" ht="29.3" customHeight="1" spans="1:60">
      <c r="A46" s="33"/>
      <c r="B46" s="64" t="s">
        <v>55</v>
      </c>
      <c r="C46" s="90" t="str">
        <f ca="1">CONCATENATE(YEAR(TODAY())-3,"-",YEAR(TODAY())-2,"学年")</f>
        <v>2020-2021学年</v>
      </c>
      <c r="D46" s="90"/>
      <c r="E46" s="90"/>
      <c r="F46" s="90"/>
      <c r="G46" s="82" t="str">
        <f ca="1">CONCATENATE(YEAR(TODAY())-2,"-",YEAR(TODAY())-1,"学年")</f>
        <v>2021-2022学年</v>
      </c>
      <c r="H46" s="82"/>
      <c r="I46" s="88"/>
      <c r="J46" s="75" t="str">
        <f ca="1">CONCATENATE(YEAR(TODAY())-1,"-",YEAR(TODAY()),"学年")</f>
        <v>2022-2023学年</v>
      </c>
      <c r="K46" s="76"/>
      <c r="L46" s="77"/>
      <c r="M46" s="64" t="s">
        <v>56</v>
      </c>
      <c r="N46" s="58" t="s">
        <v>39</v>
      </c>
      <c r="O46" s="58" t="s">
        <v>40</v>
      </c>
      <c r="P46" s="30" t="s">
        <v>57</v>
      </c>
      <c r="Q46" s="122" t="s">
        <v>58</v>
      </c>
      <c r="R46" s="123"/>
      <c r="AP46" s="124"/>
      <c r="AQ46" s="124"/>
      <c r="AR46" s="124"/>
      <c r="AS46" s="124"/>
      <c r="AT46" s="124"/>
      <c r="AU46" s="124"/>
      <c r="AV46" s="124"/>
      <c r="AW46" s="124"/>
      <c r="AX46" s="124"/>
      <c r="AY46" s="124"/>
      <c r="AZ46" s="124"/>
      <c r="BA46" s="124"/>
      <c r="BB46" s="124"/>
      <c r="BC46" s="124"/>
      <c r="BD46" s="124"/>
      <c r="BE46" s="124"/>
      <c r="BF46" s="124"/>
      <c r="BG46" s="124"/>
      <c r="BH46" s="124"/>
    </row>
    <row r="47" ht="29.3" customHeight="1" spans="1:60">
      <c r="A47" s="33"/>
      <c r="B47" s="58"/>
      <c r="C47" s="85"/>
      <c r="D47" s="89"/>
      <c r="E47" s="89"/>
      <c r="F47" s="86"/>
      <c r="G47" s="85"/>
      <c r="H47" s="89"/>
      <c r="I47" s="86"/>
      <c r="J47" s="85"/>
      <c r="K47" s="89"/>
      <c r="L47" s="86"/>
      <c r="M47" s="119">
        <f>IF(SUM(C47:L47)&lt;&gt;0,SUM(C47:L47)/3,0)</f>
        <v>0</v>
      </c>
      <c r="N47" s="118"/>
      <c r="O47" s="118"/>
      <c r="P47" s="30">
        <f>IF(K29&lt;&gt;"",IF(K29="专任教师",ROUNDDOWN(((M47+M49)-360)/30,0),ROUNDDOWN((M47+M49)/30,0)),0)</f>
        <v>0</v>
      </c>
      <c r="Q47" s="122" t="str">
        <f>IF(OR((M47+M49)&gt;=360,K29="二级教学单位负责人",K29="“双肩挑”人员",K29="非教学单位人员"),"满足","不满足")</f>
        <v>不满足</v>
      </c>
      <c r="R47" s="123"/>
      <c r="AP47" s="124"/>
      <c r="AQ47" s="124"/>
      <c r="AR47" s="124"/>
      <c r="AS47" s="124"/>
      <c r="AT47" s="124"/>
      <c r="AU47" s="124"/>
      <c r="AV47" s="124"/>
      <c r="AW47" s="124"/>
      <c r="AX47" s="124"/>
      <c r="AY47" s="124"/>
      <c r="AZ47" s="124"/>
      <c r="BA47" s="124"/>
      <c r="BB47" s="124"/>
      <c r="BC47" s="124"/>
      <c r="BD47" s="124"/>
      <c r="BE47" s="124"/>
      <c r="BF47" s="124"/>
      <c r="BG47" s="124"/>
      <c r="BH47" s="124"/>
    </row>
    <row r="48" ht="29.3" customHeight="1" spans="1:60">
      <c r="A48" s="33"/>
      <c r="B48" s="64" t="s">
        <v>59</v>
      </c>
      <c r="C48" s="90" t="str">
        <f ca="1">CONCATENATE(YEAR(TODAY())-3,"-",YEAR(TODAY())-2,"学年")</f>
        <v>2020-2021学年</v>
      </c>
      <c r="D48" s="90"/>
      <c r="E48" s="90"/>
      <c r="F48" s="90"/>
      <c r="G48" s="82" t="str">
        <f ca="1">CONCATENATE(YEAR(TODAY())-2,"-",YEAR(TODAY())-1,"学年")</f>
        <v>2021-2022学年</v>
      </c>
      <c r="H48" s="82"/>
      <c r="I48" s="88"/>
      <c r="J48" s="75" t="str">
        <f ca="1">CONCATENATE(YEAR(TODAY())-1,"-",YEAR(TODAY()),"学年")</f>
        <v>2022-2023学年</v>
      </c>
      <c r="K48" s="76"/>
      <c r="L48" s="77"/>
      <c r="M48" s="64" t="s">
        <v>56</v>
      </c>
      <c r="N48" s="58" t="s">
        <v>39</v>
      </c>
      <c r="O48" s="58" t="s">
        <v>40</v>
      </c>
      <c r="P48" s="30"/>
      <c r="Q48" s="122"/>
      <c r="R48" s="123"/>
      <c r="AK48" s="124"/>
      <c r="AL48" s="124"/>
      <c r="AM48" s="124"/>
      <c r="AN48" s="124"/>
      <c r="AO48" s="124"/>
      <c r="AP48" s="124"/>
      <c r="AQ48" s="124"/>
      <c r="AR48" s="124"/>
      <c r="AS48" s="124"/>
      <c r="AT48" s="124"/>
      <c r="AU48" s="124"/>
      <c r="AV48" s="124"/>
      <c r="AW48" s="124"/>
      <c r="AX48" s="124"/>
      <c r="AY48" s="124"/>
      <c r="AZ48" s="124"/>
      <c r="BA48" s="124"/>
      <c r="BB48" s="124"/>
      <c r="BC48" s="124"/>
      <c r="BD48" s="124"/>
      <c r="BE48" s="124"/>
      <c r="BF48" s="124"/>
      <c r="BG48" s="124"/>
      <c r="BH48" s="124"/>
    </row>
    <row r="49" ht="29.3" customHeight="1" spans="1:60">
      <c r="A49" s="33"/>
      <c r="B49" s="58"/>
      <c r="C49" s="85"/>
      <c r="D49" s="89"/>
      <c r="E49" s="89"/>
      <c r="F49" s="86"/>
      <c r="G49" s="85"/>
      <c r="H49" s="89"/>
      <c r="I49" s="86"/>
      <c r="J49" s="85"/>
      <c r="K49" s="89"/>
      <c r="L49" s="86"/>
      <c r="M49" s="119">
        <f>IF(SUM(C49:L49)&lt;&gt;0,SUM(C49:L49)/3,0)</f>
        <v>0</v>
      </c>
      <c r="N49" s="118"/>
      <c r="O49" s="118"/>
      <c r="P49" s="30"/>
      <c r="Q49" s="122"/>
      <c r="R49" s="123"/>
      <c r="AK49" s="124"/>
      <c r="AL49" s="124"/>
      <c r="AM49" s="124"/>
      <c r="AN49" s="124"/>
      <c r="AO49" s="124"/>
      <c r="AP49" s="124"/>
      <c r="AQ49" s="124"/>
      <c r="AR49" s="124"/>
      <c r="AS49" s="124"/>
      <c r="AT49" s="124"/>
      <c r="AU49" s="124"/>
      <c r="AV49" s="124"/>
      <c r="AW49" s="124"/>
      <c r="AX49" s="124"/>
      <c r="AY49" s="124"/>
      <c r="AZ49" s="124"/>
      <c r="BA49" s="124"/>
      <c r="BB49" s="124"/>
      <c r="BC49" s="124"/>
      <c r="BD49" s="124"/>
      <c r="BE49" s="124"/>
      <c r="BF49" s="124"/>
      <c r="BG49" s="124"/>
      <c r="BH49" s="124"/>
    </row>
    <row r="50" ht="29.3" customHeight="1" spans="1:60">
      <c r="A50" s="33"/>
      <c r="B50" s="64" t="s">
        <v>60</v>
      </c>
      <c r="C50" s="91" t="str">
        <f ca="1">CONCATENATE(YEAR(TODAY())-5,"年")</f>
        <v>2018年</v>
      </c>
      <c r="D50" s="92"/>
      <c r="E50" s="91" t="str">
        <f ca="1">CONCATENATE(YEAR(TODAY())-4,"年")</f>
        <v>2019年</v>
      </c>
      <c r="F50" s="92"/>
      <c r="G50" s="81" t="str">
        <f ca="1">CONCATENATE(YEAR(TODAY())-3,"年")</f>
        <v>2020年</v>
      </c>
      <c r="H50" s="88"/>
      <c r="I50" s="75" t="str">
        <f ca="1">CONCATENATE(YEAR(TODAY())-2,"年")</f>
        <v>2021年</v>
      </c>
      <c r="J50" s="120"/>
      <c r="K50" s="75" t="str">
        <f ca="1">CONCATENATE(YEAR(TODAY())-1,"(",CONCATENATE(YEAR(TODAY()),"年"),")","年")</f>
        <v>2022(2023年)年</v>
      </c>
      <c r="L50" s="77"/>
      <c r="M50" s="64" t="s">
        <v>61</v>
      </c>
      <c r="N50" s="58" t="s">
        <v>39</v>
      </c>
      <c r="O50" s="58" t="s">
        <v>40</v>
      </c>
      <c r="P50" s="30" t="s">
        <v>62</v>
      </c>
      <c r="Q50" s="122" t="s">
        <v>63</v>
      </c>
      <c r="R50" s="123"/>
      <c r="AP50" s="124"/>
      <c r="AQ50" s="124"/>
      <c r="AR50" s="124"/>
      <c r="AS50" s="124"/>
      <c r="AT50" s="124"/>
      <c r="AU50" s="124"/>
      <c r="AV50" s="124"/>
      <c r="AW50" s="124"/>
      <c r="AX50" s="124"/>
      <c r="AY50" s="124"/>
      <c r="AZ50" s="124"/>
      <c r="BA50" s="124"/>
      <c r="BB50" s="124"/>
      <c r="BC50" s="124"/>
      <c r="BD50" s="124"/>
      <c r="BE50" s="124"/>
      <c r="BF50" s="124"/>
      <c r="BG50" s="124"/>
      <c r="BH50" s="124"/>
    </row>
    <row r="51" ht="29.3" customHeight="1" spans="1:60">
      <c r="A51" s="33"/>
      <c r="B51" s="58"/>
      <c r="C51" s="93"/>
      <c r="D51" s="94"/>
      <c r="E51" s="93"/>
      <c r="F51" s="94"/>
      <c r="G51" s="93"/>
      <c r="H51" s="94"/>
      <c r="I51" s="93"/>
      <c r="J51" s="94"/>
      <c r="K51" s="93"/>
      <c r="L51" s="94"/>
      <c r="M51" s="64" t="str">
        <f>IF(SUM(C51:L51)&gt;0,SUM(C51:L51),"")</f>
        <v/>
      </c>
      <c r="N51" s="118"/>
      <c r="O51" s="118"/>
      <c r="P51" s="30" t="str">
        <f>IF(AND(K29&lt;&gt;"",M51&lt;&gt;""),IF(M51/22&gt;=6,3,0),"")</f>
        <v/>
      </c>
      <c r="Q51" s="122" t="str">
        <f>IF(OR(K29="非教学单位人员",K29="“双肩挑”人员",AND(M51&lt;&gt;"",P51&gt;0)),"满足","不满足")</f>
        <v>不满足</v>
      </c>
      <c r="R51" s="123"/>
      <c r="AP51" s="124"/>
      <c r="AQ51" s="124"/>
      <c r="AR51" s="124"/>
      <c r="AS51" s="124"/>
      <c r="AT51" s="124"/>
      <c r="AU51" s="124"/>
      <c r="AV51" s="124"/>
      <c r="AW51" s="124"/>
      <c r="AX51" s="124"/>
      <c r="AY51" s="124"/>
      <c r="AZ51" s="124"/>
      <c r="BA51" s="124"/>
      <c r="BB51" s="124"/>
      <c r="BC51" s="124"/>
      <c r="BD51" s="124"/>
      <c r="BE51" s="124"/>
      <c r="BF51" s="124"/>
      <c r="BG51" s="124"/>
      <c r="BH51" s="124"/>
    </row>
    <row r="52" ht="29.3" customHeight="1" spans="1:60">
      <c r="A52" s="33"/>
      <c r="B52" s="95" t="s">
        <v>64</v>
      </c>
      <c r="C52" s="81" t="s">
        <v>65</v>
      </c>
      <c r="D52" s="88"/>
      <c r="E52" s="81" t="s">
        <v>66</v>
      </c>
      <c r="F52" s="88"/>
      <c r="G52" s="81" t="s">
        <v>67</v>
      </c>
      <c r="H52" s="82"/>
      <c r="I52" s="88"/>
      <c r="J52" s="81" t="s">
        <v>68</v>
      </c>
      <c r="K52" s="88"/>
      <c r="L52" s="81" t="s">
        <v>69</v>
      </c>
      <c r="M52" s="88"/>
      <c r="N52" s="58" t="s">
        <v>39</v>
      </c>
      <c r="O52" s="58" t="s">
        <v>40</v>
      </c>
      <c r="P52" s="30" t="s">
        <v>70</v>
      </c>
      <c r="Q52" s="30" t="s">
        <v>71</v>
      </c>
      <c r="R52" s="121" t="s">
        <v>72</v>
      </c>
      <c r="S52" s="114" t="s">
        <v>73</v>
      </c>
      <c r="AP52" s="124"/>
      <c r="AQ52" s="124"/>
      <c r="AR52" s="124"/>
      <c r="AS52" s="124"/>
      <c r="AT52" s="124"/>
      <c r="AU52" s="124"/>
      <c r="AV52" s="124"/>
      <c r="AW52" s="124"/>
      <c r="AX52" s="124"/>
      <c r="AY52" s="124"/>
      <c r="AZ52" s="124"/>
      <c r="BA52" s="124"/>
      <c r="BB52" s="124"/>
      <c r="BC52" s="124"/>
      <c r="BD52" s="124"/>
      <c r="BE52" s="124"/>
      <c r="BF52" s="124"/>
      <c r="BG52" s="124"/>
      <c r="BH52" s="124"/>
    </row>
    <row r="53" ht="29.3" customHeight="1" spans="1:60">
      <c r="A53" s="33"/>
      <c r="B53" s="96"/>
      <c r="C53" s="93"/>
      <c r="D53" s="94"/>
      <c r="E53" s="93"/>
      <c r="F53" s="94"/>
      <c r="G53" s="93"/>
      <c r="H53" s="97"/>
      <c r="I53" s="94"/>
      <c r="J53" s="93"/>
      <c r="K53" s="94"/>
      <c r="L53" s="93"/>
      <c r="M53" s="94"/>
      <c r="N53" s="118"/>
      <c r="O53" s="118"/>
      <c r="P53" s="30">
        <f>IF(SUM(L53:M67)/3&gt;=60,3,0)</f>
        <v>0</v>
      </c>
      <c r="Q53" s="30">
        <f>IF(SUM(R53:S53)&gt;0,2,0)</f>
        <v>0</v>
      </c>
      <c r="R53" s="30">
        <f>COUNTIF(C53:D67,"国培项目")</f>
        <v>0</v>
      </c>
      <c r="S53" s="30">
        <f>COUNTIF(C53:D67,"境外线上线下培训")</f>
        <v>0</v>
      </c>
      <c r="AP53" s="124"/>
      <c r="AQ53" s="124"/>
      <c r="AR53" s="124"/>
      <c r="AS53" s="124"/>
      <c r="AT53" s="124"/>
      <c r="AU53" s="124"/>
      <c r="AV53" s="124"/>
      <c r="AW53" s="124"/>
      <c r="AX53" s="124"/>
      <c r="AY53" s="124"/>
      <c r="AZ53" s="124"/>
      <c r="BA53" s="124"/>
      <c r="BB53" s="124"/>
      <c r="BC53" s="124"/>
      <c r="BD53" s="124"/>
      <c r="BE53" s="124"/>
      <c r="BF53" s="124"/>
      <c r="BG53" s="124"/>
      <c r="BH53" s="124"/>
    </row>
    <row r="54" ht="29.3" customHeight="1" spans="1:60">
      <c r="A54" s="33"/>
      <c r="B54" s="96"/>
      <c r="C54" s="93"/>
      <c r="D54" s="94"/>
      <c r="E54" s="93"/>
      <c r="F54" s="94"/>
      <c r="G54" s="93"/>
      <c r="H54" s="97"/>
      <c r="I54" s="94"/>
      <c r="J54" s="93"/>
      <c r="K54" s="94"/>
      <c r="L54" s="93"/>
      <c r="M54" s="94"/>
      <c r="N54" s="118"/>
      <c r="O54" s="118"/>
      <c r="AP54" s="124"/>
      <c r="AQ54" s="124"/>
      <c r="AR54" s="124"/>
      <c r="AS54" s="124"/>
      <c r="AT54" s="124"/>
      <c r="AU54" s="124"/>
      <c r="AV54" s="124"/>
      <c r="AW54" s="124"/>
      <c r="AX54" s="124"/>
      <c r="AY54" s="124"/>
      <c r="AZ54" s="124"/>
      <c r="BA54" s="124"/>
      <c r="BB54" s="124"/>
      <c r="BC54" s="124"/>
      <c r="BD54" s="124"/>
      <c r="BE54" s="124"/>
      <c r="BF54" s="124"/>
      <c r="BG54" s="124"/>
      <c r="BH54" s="124"/>
    </row>
    <row r="55" ht="29.3" customHeight="1" spans="1:60">
      <c r="A55" s="33"/>
      <c r="B55" s="96"/>
      <c r="C55" s="93"/>
      <c r="D55" s="94"/>
      <c r="E55" s="93"/>
      <c r="F55" s="94"/>
      <c r="G55" s="93"/>
      <c r="H55" s="97"/>
      <c r="I55" s="94"/>
      <c r="J55" s="93"/>
      <c r="K55" s="94"/>
      <c r="L55" s="93"/>
      <c r="M55" s="94"/>
      <c r="N55" s="118"/>
      <c r="O55" s="118"/>
      <c r="AP55" s="124"/>
      <c r="AQ55" s="124"/>
      <c r="AR55" s="124"/>
      <c r="AS55" s="124"/>
      <c r="AT55" s="124"/>
      <c r="AU55" s="124"/>
      <c r="AV55" s="124"/>
      <c r="AW55" s="124"/>
      <c r="AX55" s="124"/>
      <c r="AY55" s="124"/>
      <c r="AZ55" s="124"/>
      <c r="BA55" s="124"/>
      <c r="BB55" s="124"/>
      <c r="BC55" s="124"/>
      <c r="BD55" s="124"/>
      <c r="BE55" s="124"/>
      <c r="BF55" s="124"/>
      <c r="BG55" s="124"/>
      <c r="BH55" s="124"/>
    </row>
    <row r="56" ht="29.3" customHeight="1" spans="1:60">
      <c r="A56" s="33"/>
      <c r="B56" s="96"/>
      <c r="C56" s="93"/>
      <c r="D56" s="94"/>
      <c r="E56" s="93"/>
      <c r="F56" s="94"/>
      <c r="G56" s="93"/>
      <c r="H56" s="97"/>
      <c r="I56" s="94"/>
      <c r="J56" s="93"/>
      <c r="K56" s="94"/>
      <c r="L56" s="93"/>
      <c r="M56" s="94"/>
      <c r="N56" s="118"/>
      <c r="O56" s="118"/>
      <c r="AP56" s="124"/>
      <c r="AQ56" s="124"/>
      <c r="AR56" s="124"/>
      <c r="AS56" s="124"/>
      <c r="AT56" s="124"/>
      <c r="AU56" s="124"/>
      <c r="AV56" s="124"/>
      <c r="AW56" s="124"/>
      <c r="AX56" s="124"/>
      <c r="AY56" s="124"/>
      <c r="AZ56" s="124"/>
      <c r="BA56" s="124"/>
      <c r="BB56" s="124"/>
      <c r="BC56" s="124"/>
      <c r="BD56" s="124"/>
      <c r="BE56" s="124"/>
      <c r="BF56" s="124"/>
      <c r="BG56" s="124"/>
      <c r="BH56" s="124"/>
    </row>
    <row r="57" ht="29.3" customHeight="1" spans="1:60">
      <c r="A57" s="33"/>
      <c r="B57" s="96"/>
      <c r="C57" s="93"/>
      <c r="D57" s="94"/>
      <c r="E57" s="93"/>
      <c r="F57" s="94"/>
      <c r="G57" s="93"/>
      <c r="H57" s="97"/>
      <c r="I57" s="94"/>
      <c r="J57" s="93"/>
      <c r="K57" s="94"/>
      <c r="L57" s="93"/>
      <c r="M57" s="94"/>
      <c r="N57" s="118"/>
      <c r="O57" s="118"/>
      <c r="AP57" s="124"/>
      <c r="AQ57" s="124"/>
      <c r="AR57" s="124"/>
      <c r="AS57" s="124"/>
      <c r="AT57" s="124"/>
      <c r="AU57" s="124"/>
      <c r="AV57" s="124"/>
      <c r="AW57" s="124"/>
      <c r="AX57" s="124"/>
      <c r="AY57" s="124"/>
      <c r="AZ57" s="124"/>
      <c r="BA57" s="124"/>
      <c r="BB57" s="124"/>
      <c r="BC57" s="124"/>
      <c r="BD57" s="124"/>
      <c r="BE57" s="124"/>
      <c r="BF57" s="124"/>
      <c r="BG57" s="124"/>
      <c r="BH57" s="124"/>
    </row>
    <row r="58" ht="29.3" customHeight="1" spans="1:60">
      <c r="A58" s="33"/>
      <c r="B58" s="96"/>
      <c r="C58" s="93"/>
      <c r="D58" s="94"/>
      <c r="E58" s="93"/>
      <c r="F58" s="94"/>
      <c r="G58" s="93"/>
      <c r="H58" s="97"/>
      <c r="I58" s="94"/>
      <c r="J58" s="93"/>
      <c r="K58" s="94"/>
      <c r="L58" s="93"/>
      <c r="M58" s="94"/>
      <c r="N58" s="118"/>
      <c r="O58" s="118"/>
      <c r="AP58" s="124"/>
      <c r="AQ58" s="124"/>
      <c r="AR58" s="124"/>
      <c r="AS58" s="124"/>
      <c r="AT58" s="124"/>
      <c r="AU58" s="124"/>
      <c r="AV58" s="124"/>
      <c r="AW58" s="124"/>
      <c r="AX58" s="124"/>
      <c r="AY58" s="124"/>
      <c r="AZ58" s="124"/>
      <c r="BA58" s="124"/>
      <c r="BB58" s="124"/>
      <c r="BC58" s="124"/>
      <c r="BD58" s="124"/>
      <c r="BE58" s="124"/>
      <c r="BF58" s="124"/>
      <c r="BG58" s="124"/>
      <c r="BH58" s="124"/>
    </row>
    <row r="59" ht="29.3" customHeight="1" spans="1:60">
      <c r="A59" s="33"/>
      <c r="B59" s="96"/>
      <c r="C59" s="93"/>
      <c r="D59" s="94"/>
      <c r="E59" s="93"/>
      <c r="F59" s="94"/>
      <c r="G59" s="93"/>
      <c r="H59" s="97"/>
      <c r="I59" s="94"/>
      <c r="J59" s="93"/>
      <c r="K59" s="94"/>
      <c r="L59" s="93"/>
      <c r="M59" s="94"/>
      <c r="N59" s="118"/>
      <c r="O59" s="118"/>
      <c r="AP59" s="124"/>
      <c r="AQ59" s="124"/>
      <c r="AR59" s="124"/>
      <c r="AS59" s="124"/>
      <c r="AT59" s="124"/>
      <c r="AU59" s="124"/>
      <c r="AV59" s="124"/>
      <c r="AW59" s="124"/>
      <c r="AX59" s="124"/>
      <c r="AY59" s="124"/>
      <c r="AZ59" s="124"/>
      <c r="BA59" s="124"/>
      <c r="BB59" s="124"/>
      <c r="BC59" s="124"/>
      <c r="BD59" s="124"/>
      <c r="BE59" s="124"/>
      <c r="BF59" s="124"/>
      <c r="BG59" s="124"/>
      <c r="BH59" s="124"/>
    </row>
    <row r="60" ht="29.3" customHeight="1" spans="1:60">
      <c r="A60" s="33"/>
      <c r="B60" s="96"/>
      <c r="C60" s="93"/>
      <c r="D60" s="94"/>
      <c r="E60" s="93"/>
      <c r="F60" s="94"/>
      <c r="G60" s="93"/>
      <c r="H60" s="97"/>
      <c r="I60" s="94"/>
      <c r="J60" s="93"/>
      <c r="K60" s="94"/>
      <c r="L60" s="93"/>
      <c r="M60" s="94"/>
      <c r="N60" s="118"/>
      <c r="O60" s="118"/>
      <c r="AP60" s="124"/>
      <c r="AQ60" s="124"/>
      <c r="AR60" s="124"/>
      <c r="AS60" s="124"/>
      <c r="AT60" s="124"/>
      <c r="AU60" s="124"/>
      <c r="AV60" s="124"/>
      <c r="AW60" s="124"/>
      <c r="AX60" s="124"/>
      <c r="AY60" s="124"/>
      <c r="AZ60" s="124"/>
      <c r="BA60" s="124"/>
      <c r="BB60" s="124"/>
      <c r="BC60" s="124"/>
      <c r="BD60" s="124"/>
      <c r="BE60" s="124"/>
      <c r="BF60" s="124"/>
      <c r="BG60" s="124"/>
      <c r="BH60" s="124"/>
    </row>
    <row r="61" ht="29.3" customHeight="1" spans="1:60">
      <c r="A61" s="33"/>
      <c r="B61" s="96"/>
      <c r="C61" s="93"/>
      <c r="D61" s="94"/>
      <c r="E61" s="93"/>
      <c r="F61" s="94"/>
      <c r="G61" s="93"/>
      <c r="H61" s="97"/>
      <c r="I61" s="94"/>
      <c r="J61" s="93"/>
      <c r="K61" s="94"/>
      <c r="L61" s="93"/>
      <c r="M61" s="94"/>
      <c r="N61" s="118"/>
      <c r="O61" s="118"/>
      <c r="AP61" s="124"/>
      <c r="AQ61" s="124"/>
      <c r="AR61" s="124"/>
      <c r="AS61" s="124"/>
      <c r="AT61" s="124"/>
      <c r="AU61" s="124"/>
      <c r="AV61" s="124"/>
      <c r="AW61" s="124"/>
      <c r="AX61" s="124"/>
      <c r="AY61" s="124"/>
      <c r="AZ61" s="124"/>
      <c r="BA61" s="124"/>
      <c r="BB61" s="124"/>
      <c r="BC61" s="124"/>
      <c r="BD61" s="124"/>
      <c r="BE61" s="124"/>
      <c r="BF61" s="124"/>
      <c r="BG61" s="124"/>
      <c r="BH61" s="124"/>
    </row>
    <row r="62" ht="29.3" customHeight="1" spans="1:60">
      <c r="A62" s="33"/>
      <c r="B62" s="96"/>
      <c r="C62" s="93"/>
      <c r="D62" s="94"/>
      <c r="E62" s="93"/>
      <c r="F62" s="94"/>
      <c r="G62" s="93"/>
      <c r="H62" s="97"/>
      <c r="I62" s="94"/>
      <c r="J62" s="93"/>
      <c r="K62" s="94"/>
      <c r="L62" s="93"/>
      <c r="M62" s="94"/>
      <c r="N62" s="118"/>
      <c r="O62" s="118"/>
      <c r="AP62" s="124"/>
      <c r="AQ62" s="124"/>
      <c r="AR62" s="124"/>
      <c r="AS62" s="124"/>
      <c r="AT62" s="124"/>
      <c r="AU62" s="124"/>
      <c r="AV62" s="124"/>
      <c r="AW62" s="124"/>
      <c r="AX62" s="124"/>
      <c r="AY62" s="124"/>
      <c r="AZ62" s="124"/>
      <c r="BA62" s="124"/>
      <c r="BB62" s="124"/>
      <c r="BC62" s="124"/>
      <c r="BD62" s="124"/>
      <c r="BE62" s="124"/>
      <c r="BF62" s="124"/>
      <c r="BG62" s="124"/>
      <c r="BH62" s="124"/>
    </row>
    <row r="63" ht="29.3" customHeight="1" spans="1:60">
      <c r="A63" s="33"/>
      <c r="B63" s="96"/>
      <c r="C63" s="93"/>
      <c r="D63" s="94"/>
      <c r="E63" s="93"/>
      <c r="F63" s="94"/>
      <c r="G63" s="93"/>
      <c r="H63" s="97"/>
      <c r="I63" s="94"/>
      <c r="J63" s="93"/>
      <c r="K63" s="94"/>
      <c r="L63" s="93"/>
      <c r="M63" s="94"/>
      <c r="N63" s="118"/>
      <c r="O63" s="118"/>
      <c r="AP63" s="124"/>
      <c r="AQ63" s="124"/>
      <c r="AR63" s="124"/>
      <c r="AS63" s="124"/>
      <c r="AT63" s="124"/>
      <c r="AU63" s="124"/>
      <c r="AV63" s="124"/>
      <c r="AW63" s="124"/>
      <c r="AX63" s="124"/>
      <c r="AY63" s="124"/>
      <c r="AZ63" s="124"/>
      <c r="BA63" s="124"/>
      <c r="BB63" s="124"/>
      <c r="BC63" s="124"/>
      <c r="BD63" s="124"/>
      <c r="BE63" s="124"/>
      <c r="BF63" s="124"/>
      <c r="BG63" s="124"/>
      <c r="BH63" s="124"/>
    </row>
    <row r="64" ht="29.3" customHeight="1" spans="1:60">
      <c r="A64" s="33"/>
      <c r="B64" s="96"/>
      <c r="C64" s="93"/>
      <c r="D64" s="94"/>
      <c r="E64" s="93"/>
      <c r="F64" s="94"/>
      <c r="G64" s="93"/>
      <c r="H64" s="97"/>
      <c r="I64" s="94"/>
      <c r="J64" s="93"/>
      <c r="K64" s="94"/>
      <c r="L64" s="93"/>
      <c r="M64" s="94"/>
      <c r="N64" s="118"/>
      <c r="O64" s="118"/>
      <c r="AP64" s="124"/>
      <c r="AQ64" s="124"/>
      <c r="AR64" s="124"/>
      <c r="AS64" s="124"/>
      <c r="AT64" s="124"/>
      <c r="AU64" s="124"/>
      <c r="AV64" s="124"/>
      <c r="AW64" s="124"/>
      <c r="AX64" s="124"/>
      <c r="AY64" s="124"/>
      <c r="AZ64" s="124"/>
      <c r="BA64" s="124"/>
      <c r="BB64" s="124"/>
      <c r="BC64" s="124"/>
      <c r="BD64" s="124"/>
      <c r="BE64" s="124"/>
      <c r="BF64" s="124"/>
      <c r="BG64" s="124"/>
      <c r="BH64" s="124"/>
    </row>
    <row r="65" ht="29.3" customHeight="1" spans="1:60">
      <c r="A65" s="33"/>
      <c r="B65" s="96"/>
      <c r="C65" s="93"/>
      <c r="D65" s="94"/>
      <c r="E65" s="93"/>
      <c r="F65" s="94"/>
      <c r="G65" s="93"/>
      <c r="H65" s="97"/>
      <c r="I65" s="94"/>
      <c r="J65" s="93"/>
      <c r="K65" s="94"/>
      <c r="L65" s="93"/>
      <c r="M65" s="94"/>
      <c r="N65" s="118"/>
      <c r="O65" s="118"/>
      <c r="AP65" s="124"/>
      <c r="AQ65" s="124"/>
      <c r="AR65" s="124"/>
      <c r="AS65" s="124"/>
      <c r="AT65" s="124"/>
      <c r="AU65" s="124"/>
      <c r="AV65" s="124"/>
      <c r="AW65" s="124"/>
      <c r="AX65" s="124"/>
      <c r="AY65" s="124"/>
      <c r="AZ65" s="124"/>
      <c r="BA65" s="124"/>
      <c r="BB65" s="124"/>
      <c r="BC65" s="124"/>
      <c r="BD65" s="124"/>
      <c r="BE65" s="124"/>
      <c r="BF65" s="124"/>
      <c r="BG65" s="124"/>
      <c r="BH65" s="124"/>
    </row>
    <row r="66" ht="29.3" customHeight="1" spans="1:60">
      <c r="A66" s="33"/>
      <c r="B66" s="96"/>
      <c r="C66" s="93"/>
      <c r="D66" s="94"/>
      <c r="E66" s="93"/>
      <c r="F66" s="94"/>
      <c r="G66" s="93"/>
      <c r="H66" s="97"/>
      <c r="I66" s="94"/>
      <c r="J66" s="93"/>
      <c r="K66" s="94"/>
      <c r="L66" s="93"/>
      <c r="M66" s="94"/>
      <c r="N66" s="118"/>
      <c r="O66" s="118"/>
      <c r="AP66" s="124"/>
      <c r="AQ66" s="124"/>
      <c r="AR66" s="124"/>
      <c r="AS66" s="124"/>
      <c r="AT66" s="124"/>
      <c r="AU66" s="124"/>
      <c r="AV66" s="124"/>
      <c r="AW66" s="124"/>
      <c r="AX66" s="124"/>
      <c r="AY66" s="124"/>
      <c r="AZ66" s="124"/>
      <c r="BA66" s="124"/>
      <c r="BB66" s="124"/>
      <c r="BC66" s="124"/>
      <c r="BD66" s="124"/>
      <c r="BE66" s="124"/>
      <c r="BF66" s="124"/>
      <c r="BG66" s="124"/>
      <c r="BH66" s="124"/>
    </row>
    <row r="67" ht="29.3" customHeight="1" spans="1:60">
      <c r="A67" s="33"/>
      <c r="B67" s="125"/>
      <c r="C67" s="93"/>
      <c r="D67" s="94"/>
      <c r="E67" s="93"/>
      <c r="F67" s="94"/>
      <c r="G67" s="93"/>
      <c r="H67" s="97"/>
      <c r="I67" s="94"/>
      <c r="J67" s="93"/>
      <c r="K67" s="94"/>
      <c r="L67" s="93"/>
      <c r="M67" s="94"/>
      <c r="N67" s="118"/>
      <c r="O67" s="118"/>
      <c r="AP67" s="124"/>
      <c r="AQ67" s="124"/>
      <c r="AR67" s="124"/>
      <c r="AS67" s="124"/>
      <c r="AT67" s="124"/>
      <c r="AU67" s="124"/>
      <c r="AV67" s="124"/>
      <c r="AW67" s="124"/>
      <c r="AX67" s="124"/>
      <c r="AY67" s="124"/>
      <c r="AZ67" s="124"/>
      <c r="BA67" s="124"/>
      <c r="BB67" s="124"/>
      <c r="BC67" s="124"/>
      <c r="BD67" s="124"/>
      <c r="BE67" s="124"/>
      <c r="BF67" s="124"/>
      <c r="BG67" s="124"/>
      <c r="BH67" s="124"/>
    </row>
    <row r="68" ht="29.3" customHeight="1" spans="1:60">
      <c r="A68" s="33"/>
      <c r="B68" s="64" t="s">
        <v>74</v>
      </c>
      <c r="C68" s="81" t="s">
        <v>75</v>
      </c>
      <c r="D68" s="88"/>
      <c r="E68" s="126" t="s">
        <v>76</v>
      </c>
      <c r="F68" s="126"/>
      <c r="G68" s="126" t="s">
        <v>77</v>
      </c>
      <c r="H68" s="126"/>
      <c r="I68" s="126" t="s">
        <v>78</v>
      </c>
      <c r="J68" s="126"/>
      <c r="K68" s="151" t="s">
        <v>79</v>
      </c>
      <c r="L68" s="126" t="s">
        <v>69</v>
      </c>
      <c r="M68" s="126"/>
      <c r="N68" s="58" t="s">
        <v>39</v>
      </c>
      <c r="O68" s="58" t="s">
        <v>40</v>
      </c>
      <c r="P68" s="30" t="s">
        <v>80</v>
      </c>
      <c r="AP68" s="124"/>
      <c r="AQ68" s="124"/>
      <c r="AR68" s="124"/>
      <c r="AS68" s="124"/>
      <c r="AT68" s="124"/>
      <c r="AU68" s="124"/>
      <c r="AV68" s="124"/>
      <c r="AW68" s="124"/>
      <c r="AX68" s="124"/>
      <c r="AY68" s="124"/>
      <c r="AZ68" s="124"/>
      <c r="BA68" s="124"/>
      <c r="BB68" s="124"/>
      <c r="BC68" s="124"/>
      <c r="BD68" s="124"/>
      <c r="BE68" s="124"/>
      <c r="BF68" s="124"/>
      <c r="BG68" s="124"/>
      <c r="BH68" s="124"/>
    </row>
    <row r="69" ht="29.3" customHeight="1" spans="1:60">
      <c r="A69" s="33"/>
      <c r="B69" s="64"/>
      <c r="C69" s="127"/>
      <c r="D69" s="128"/>
      <c r="E69" s="93"/>
      <c r="F69" s="94"/>
      <c r="G69" s="93"/>
      <c r="H69" s="94"/>
      <c r="I69" s="93"/>
      <c r="J69" s="94"/>
      <c r="K69" s="152"/>
      <c r="L69" s="93"/>
      <c r="M69" s="94"/>
      <c r="N69" s="118"/>
      <c r="O69" s="118"/>
      <c r="P69" s="30">
        <f>IF(SUM(L69:M76)&gt;=30,3,0)</f>
        <v>0</v>
      </c>
      <c r="AP69" s="124"/>
      <c r="AQ69" s="124"/>
      <c r="AR69" s="124"/>
      <c r="AS69" s="124"/>
      <c r="AT69" s="124"/>
      <c r="AU69" s="124"/>
      <c r="AV69" s="124"/>
      <c r="AW69" s="124"/>
      <c r="AX69" s="124"/>
      <c r="AY69" s="124"/>
      <c r="AZ69" s="124"/>
      <c r="BA69" s="124"/>
      <c r="BB69" s="124"/>
      <c r="BC69" s="124"/>
      <c r="BD69" s="124"/>
      <c r="BE69" s="124"/>
      <c r="BF69" s="124"/>
      <c r="BG69" s="124"/>
      <c r="BH69" s="124"/>
    </row>
    <row r="70" ht="29.3" customHeight="1" spans="1:60">
      <c r="A70" s="33"/>
      <c r="B70" s="64"/>
      <c r="C70" s="127"/>
      <c r="D70" s="128"/>
      <c r="E70" s="93"/>
      <c r="F70" s="94"/>
      <c r="G70" s="93"/>
      <c r="H70" s="94"/>
      <c r="I70" s="93"/>
      <c r="J70" s="94"/>
      <c r="K70" s="152"/>
      <c r="L70" s="93"/>
      <c r="M70" s="94"/>
      <c r="N70" s="118"/>
      <c r="O70" s="118"/>
      <c r="AP70" s="124"/>
      <c r="AQ70" s="124"/>
      <c r="AR70" s="124"/>
      <c r="AS70" s="124"/>
      <c r="AT70" s="124"/>
      <c r="AU70" s="124"/>
      <c r="AV70" s="124"/>
      <c r="AW70" s="124"/>
      <c r="AX70" s="124"/>
      <c r="AY70" s="124"/>
      <c r="AZ70" s="124"/>
      <c r="BA70" s="124"/>
      <c r="BB70" s="124"/>
      <c r="BC70" s="124"/>
      <c r="BD70" s="124"/>
      <c r="BE70" s="124"/>
      <c r="BF70" s="124"/>
      <c r="BG70" s="124"/>
      <c r="BH70" s="124"/>
    </row>
    <row r="71" ht="29.3" customHeight="1" spans="1:60">
      <c r="A71" s="33"/>
      <c r="B71" s="64"/>
      <c r="C71" s="127"/>
      <c r="D71" s="128"/>
      <c r="E71" s="93"/>
      <c r="F71" s="94"/>
      <c r="G71" s="93"/>
      <c r="H71" s="94"/>
      <c r="I71" s="93"/>
      <c r="J71" s="94"/>
      <c r="K71" s="152"/>
      <c r="L71" s="93"/>
      <c r="M71" s="94"/>
      <c r="N71" s="118"/>
      <c r="O71" s="118"/>
      <c r="AP71" s="124"/>
      <c r="AQ71" s="124"/>
      <c r="AR71" s="124"/>
      <c r="AS71" s="124"/>
      <c r="AT71" s="124"/>
      <c r="AU71" s="124"/>
      <c r="AV71" s="124"/>
      <c r="AW71" s="124"/>
      <c r="AX71" s="124"/>
      <c r="AY71" s="124"/>
      <c r="AZ71" s="124"/>
      <c r="BA71" s="124"/>
      <c r="BB71" s="124"/>
      <c r="BC71" s="124"/>
      <c r="BD71" s="124"/>
      <c r="BE71" s="124"/>
      <c r="BF71" s="124"/>
      <c r="BG71" s="124"/>
      <c r="BH71" s="124"/>
    </row>
    <row r="72" ht="29.3" customHeight="1" spans="1:60">
      <c r="A72" s="33"/>
      <c r="B72" s="64"/>
      <c r="C72" s="127"/>
      <c r="D72" s="128"/>
      <c r="E72" s="93"/>
      <c r="F72" s="94"/>
      <c r="G72" s="93"/>
      <c r="H72" s="94"/>
      <c r="I72" s="93"/>
      <c r="J72" s="94"/>
      <c r="K72" s="152"/>
      <c r="L72" s="93"/>
      <c r="M72" s="94"/>
      <c r="N72" s="118"/>
      <c r="O72" s="118"/>
      <c r="AP72" s="124"/>
      <c r="AQ72" s="124"/>
      <c r="AR72" s="124"/>
      <c r="AS72" s="124"/>
      <c r="AT72" s="124"/>
      <c r="AU72" s="124"/>
      <c r="AV72" s="124"/>
      <c r="AW72" s="124"/>
      <c r="AX72" s="124"/>
      <c r="AY72" s="124"/>
      <c r="AZ72" s="124"/>
      <c r="BA72" s="124"/>
      <c r="BB72" s="124"/>
      <c r="BC72" s="124"/>
      <c r="BD72" s="124"/>
      <c r="BE72" s="124"/>
      <c r="BF72" s="124"/>
      <c r="BG72" s="124"/>
      <c r="BH72" s="124"/>
    </row>
    <row r="73" ht="29.3" customHeight="1" spans="1:60">
      <c r="A73" s="33"/>
      <c r="B73" s="64"/>
      <c r="C73" s="127"/>
      <c r="D73" s="128"/>
      <c r="E73" s="93"/>
      <c r="F73" s="94"/>
      <c r="G73" s="93"/>
      <c r="H73" s="94"/>
      <c r="I73" s="93"/>
      <c r="J73" s="94"/>
      <c r="K73" s="152"/>
      <c r="L73" s="93"/>
      <c r="M73" s="94"/>
      <c r="N73" s="118"/>
      <c r="O73" s="118"/>
      <c r="AP73" s="124"/>
      <c r="AQ73" s="124"/>
      <c r="AR73" s="124"/>
      <c r="AS73" s="124"/>
      <c r="AT73" s="124"/>
      <c r="AU73" s="124"/>
      <c r="AV73" s="124"/>
      <c r="AW73" s="124"/>
      <c r="AX73" s="124"/>
      <c r="AY73" s="124"/>
      <c r="AZ73" s="124"/>
      <c r="BA73" s="124"/>
      <c r="BB73" s="124"/>
      <c r="BC73" s="124"/>
      <c r="BD73" s="124"/>
      <c r="BE73" s="124"/>
      <c r="BF73" s="124"/>
      <c r="BG73" s="124"/>
      <c r="BH73" s="124"/>
    </row>
    <row r="74" ht="29.3" customHeight="1" spans="1:60">
      <c r="A74" s="33"/>
      <c r="B74" s="64"/>
      <c r="C74" s="127"/>
      <c r="D74" s="128"/>
      <c r="E74" s="93"/>
      <c r="F74" s="94"/>
      <c r="G74" s="93"/>
      <c r="H74" s="94"/>
      <c r="I74" s="93"/>
      <c r="J74" s="94"/>
      <c r="K74" s="152"/>
      <c r="L74" s="93"/>
      <c r="M74" s="94"/>
      <c r="N74" s="118"/>
      <c r="O74" s="118"/>
      <c r="AP74" s="124"/>
      <c r="AQ74" s="124"/>
      <c r="AR74" s="124"/>
      <c r="AS74" s="124"/>
      <c r="AT74" s="124"/>
      <c r="AU74" s="124"/>
      <c r="AV74" s="124"/>
      <c r="AW74" s="124"/>
      <c r="AX74" s="124"/>
      <c r="AY74" s="124"/>
      <c r="AZ74" s="124"/>
      <c r="BA74" s="124"/>
      <c r="BB74" s="124"/>
      <c r="BC74" s="124"/>
      <c r="BD74" s="124"/>
      <c r="BE74" s="124"/>
      <c r="BF74" s="124"/>
      <c r="BG74" s="124"/>
      <c r="BH74" s="124"/>
    </row>
    <row r="75" ht="29.3" customHeight="1" spans="1:60">
      <c r="A75" s="33"/>
      <c r="B75" s="64"/>
      <c r="C75" s="127"/>
      <c r="D75" s="128"/>
      <c r="E75" s="93"/>
      <c r="F75" s="94"/>
      <c r="G75" s="93"/>
      <c r="H75" s="94"/>
      <c r="I75" s="93"/>
      <c r="J75" s="94"/>
      <c r="K75" s="152"/>
      <c r="L75" s="93"/>
      <c r="M75" s="94"/>
      <c r="N75" s="118"/>
      <c r="O75" s="118"/>
      <c r="AP75" s="124"/>
      <c r="AQ75" s="124"/>
      <c r="AR75" s="124"/>
      <c r="AS75" s="124"/>
      <c r="AT75" s="124"/>
      <c r="AU75" s="124"/>
      <c r="AV75" s="124"/>
      <c r="AW75" s="124"/>
      <c r="AX75" s="124"/>
      <c r="AY75" s="124"/>
      <c r="AZ75" s="124"/>
      <c r="BA75" s="124"/>
      <c r="BB75" s="124"/>
      <c r="BC75" s="124"/>
      <c r="BD75" s="124"/>
      <c r="BE75" s="124"/>
      <c r="BF75" s="124"/>
      <c r="BG75" s="124"/>
      <c r="BH75" s="124"/>
    </row>
    <row r="76" ht="29.3" customHeight="1" spans="1:60">
      <c r="A76" s="33"/>
      <c r="B76" s="64"/>
      <c r="C76" s="127"/>
      <c r="D76" s="128"/>
      <c r="E76" s="93"/>
      <c r="F76" s="94"/>
      <c r="G76" s="93"/>
      <c r="H76" s="94"/>
      <c r="I76" s="93"/>
      <c r="J76" s="94"/>
      <c r="K76" s="152"/>
      <c r="L76" s="93"/>
      <c r="M76" s="94"/>
      <c r="N76" s="118"/>
      <c r="O76" s="118"/>
      <c r="AP76" s="124"/>
      <c r="AQ76" s="124"/>
      <c r="AR76" s="124"/>
      <c r="AS76" s="124"/>
      <c r="AT76" s="124"/>
      <c r="AU76" s="124"/>
      <c r="AV76" s="124"/>
      <c r="AW76" s="124"/>
      <c r="AX76" s="124"/>
      <c r="AY76" s="124"/>
      <c r="AZ76" s="124"/>
      <c r="BA76" s="124"/>
      <c r="BB76" s="124"/>
      <c r="BC76" s="124"/>
      <c r="BD76" s="124"/>
      <c r="BE76" s="124"/>
      <c r="BF76" s="124"/>
      <c r="BG76" s="124"/>
      <c r="BH76" s="124"/>
    </row>
    <row r="77" ht="15" customHeight="1" spans="1:60">
      <c r="A77" s="33"/>
      <c r="B77" s="54"/>
      <c r="C77" s="55"/>
      <c r="D77" s="55"/>
      <c r="E77" s="54"/>
      <c r="F77" s="56"/>
      <c r="G77" s="54"/>
      <c r="H77" s="57"/>
      <c r="I77" s="57"/>
      <c r="J77" s="108"/>
      <c r="K77" s="109"/>
      <c r="L77" s="109"/>
      <c r="M77" s="110"/>
      <c r="N77" s="110"/>
      <c r="O77" s="101"/>
      <c r="P77" s="98"/>
      <c r="AP77" s="124"/>
      <c r="AQ77" s="124"/>
      <c r="AR77" s="124"/>
      <c r="AS77" s="124"/>
      <c r="AT77" s="124"/>
      <c r="AU77" s="124"/>
      <c r="AV77" s="124"/>
      <c r="AW77" s="124"/>
      <c r="AX77" s="124"/>
      <c r="AY77" s="124"/>
      <c r="AZ77" s="124"/>
      <c r="BA77" s="124"/>
      <c r="BB77" s="124"/>
      <c r="BC77" s="124"/>
      <c r="BD77" s="124"/>
      <c r="BE77" s="124"/>
      <c r="BF77" s="124"/>
      <c r="BG77" s="124"/>
      <c r="BH77" s="124"/>
    </row>
    <row r="78" ht="31" customHeight="1" spans="1:60">
      <c r="A78" s="33"/>
      <c r="B78" s="74" t="s">
        <v>81</v>
      </c>
      <c r="C78" s="74"/>
      <c r="D78" s="74"/>
      <c r="E78" s="74"/>
      <c r="F78" s="74"/>
      <c r="G78" s="74"/>
      <c r="H78" s="74"/>
      <c r="I78" s="74"/>
      <c r="J78" s="74"/>
      <c r="K78" s="74"/>
      <c r="L78" s="74"/>
      <c r="M78" s="74"/>
      <c r="N78" s="74"/>
      <c r="O78" s="74"/>
      <c r="AP78" s="124"/>
      <c r="AQ78" s="124"/>
      <c r="AR78" s="124"/>
      <c r="AS78" s="124"/>
      <c r="AT78" s="124"/>
      <c r="AU78" s="124"/>
      <c r="AV78" s="124"/>
      <c r="AW78" s="124"/>
      <c r="AX78" s="124"/>
      <c r="AY78" s="124"/>
      <c r="AZ78" s="124"/>
      <c r="BA78" s="124"/>
      <c r="BB78" s="124"/>
      <c r="BC78" s="124"/>
      <c r="BD78" s="124"/>
      <c r="BE78" s="124"/>
      <c r="BF78" s="124"/>
      <c r="BG78" s="124"/>
      <c r="BH78" s="124"/>
    </row>
    <row r="79" ht="31" customHeight="1" spans="1:60">
      <c r="A79" s="33"/>
      <c r="B79" s="129" t="s">
        <v>82</v>
      </c>
      <c r="C79" s="129"/>
      <c r="D79" s="129"/>
      <c r="E79" s="129"/>
      <c r="F79" s="129"/>
      <c r="G79" s="129"/>
      <c r="H79" s="129"/>
      <c r="I79" s="129"/>
      <c r="J79" s="129"/>
      <c r="K79" s="129"/>
      <c r="L79" s="129"/>
      <c r="M79" s="129"/>
      <c r="N79" s="129"/>
      <c r="O79" s="129"/>
      <c r="AP79" s="124"/>
      <c r="AQ79" s="124"/>
      <c r="AR79" s="124"/>
      <c r="AS79" s="124"/>
      <c r="AT79" s="124"/>
      <c r="AU79" s="124"/>
      <c r="AV79" s="124"/>
      <c r="AW79" s="124"/>
      <c r="AX79" s="124"/>
      <c r="AY79" s="124"/>
      <c r="AZ79" s="124"/>
      <c r="BA79" s="124"/>
      <c r="BB79" s="124"/>
      <c r="BC79" s="124"/>
      <c r="BD79" s="124"/>
      <c r="BE79" s="124"/>
      <c r="BF79" s="124"/>
      <c r="BG79" s="124"/>
      <c r="BH79" s="124"/>
    </row>
    <row r="80" ht="31" customHeight="1" spans="1:60">
      <c r="A80" s="33"/>
      <c r="B80" s="90" t="s">
        <v>83</v>
      </c>
      <c r="C80" s="58" t="s">
        <v>84</v>
      </c>
      <c r="D80" s="58"/>
      <c r="E80" s="58"/>
      <c r="F80" s="58" t="s">
        <v>85</v>
      </c>
      <c r="G80" s="58"/>
      <c r="H80" s="58" t="s">
        <v>86</v>
      </c>
      <c r="I80" s="58" t="s">
        <v>87</v>
      </c>
      <c r="J80" s="58" t="s">
        <v>88</v>
      </c>
      <c r="K80" s="58" t="s">
        <v>89</v>
      </c>
      <c r="L80" s="58" t="s">
        <v>90</v>
      </c>
      <c r="M80" s="58" t="s">
        <v>91</v>
      </c>
      <c r="N80" s="58" t="s">
        <v>39</v>
      </c>
      <c r="O80" s="58" t="s">
        <v>40</v>
      </c>
      <c r="P80" s="30" t="s">
        <v>92</v>
      </c>
      <c r="Q80" s="121" t="s">
        <v>93</v>
      </c>
      <c r="R80" s="121" t="s">
        <v>94</v>
      </c>
      <c r="S80" s="121" t="s">
        <v>95</v>
      </c>
      <c r="T80" s="121" t="s">
        <v>96</v>
      </c>
      <c r="U80" s="121" t="s">
        <v>97</v>
      </c>
      <c r="V80" s="121" t="s">
        <v>98</v>
      </c>
      <c r="W80" s="121" t="s">
        <v>99</v>
      </c>
      <c r="X80" s="121" t="s">
        <v>100</v>
      </c>
      <c r="Y80" s="161" t="s">
        <v>101</v>
      </c>
      <c r="Z80" s="122" t="s">
        <v>102</v>
      </c>
      <c r="AA80" s="123"/>
      <c r="AB80" s="114" t="s">
        <v>103</v>
      </c>
      <c r="AP80" s="124"/>
      <c r="AQ80" s="124"/>
      <c r="AR80" s="124"/>
      <c r="AS80" s="124"/>
      <c r="AT80" s="124"/>
      <c r="AU80" s="124"/>
      <c r="AV80" s="124"/>
      <c r="AW80" s="124"/>
      <c r="AX80" s="124"/>
      <c r="AY80" s="124"/>
      <c r="AZ80" s="124"/>
      <c r="BA80" s="124"/>
      <c r="BB80" s="124"/>
      <c r="BC80" s="124"/>
      <c r="BD80" s="124"/>
      <c r="BE80" s="124"/>
      <c r="BF80" s="124"/>
      <c r="BG80" s="124"/>
      <c r="BH80" s="124"/>
    </row>
    <row r="81" ht="31" customHeight="1" spans="1:60">
      <c r="A81" s="33"/>
      <c r="B81" s="130"/>
      <c r="C81" s="131"/>
      <c r="D81" s="132"/>
      <c r="E81" s="132"/>
      <c r="F81" s="131"/>
      <c r="G81" s="132"/>
      <c r="H81" s="131"/>
      <c r="I81" s="131"/>
      <c r="J81" s="153"/>
      <c r="K81" s="154"/>
      <c r="L81" s="155" t="str">
        <f>IF(B81&lt;&gt;"",IF(I81="独立完成",1,IF(I81="合作完成",P81))*(IF(H81="否",0.5,IF(H81="是",1,0))),"")</f>
        <v/>
      </c>
      <c r="M81" s="155" t="str">
        <f>IF(B81&lt;&gt;"",SUM(Q81:X81)*L81,"")</f>
        <v/>
      </c>
      <c r="N81" s="156"/>
      <c r="O81" s="156"/>
      <c r="P81" s="156">
        <f>IF(K81=1,0.8,IF(K81=2,0.2,IF(K81&gt;2,0.1,0)))</f>
        <v>0</v>
      </c>
      <c r="Q81" s="163">
        <f>IF(B81="JA三大检索",20,0)</f>
        <v>0</v>
      </c>
      <c r="R81" s="163">
        <f>IF(B81="中文核心期刊",15,0)</f>
        <v>0</v>
      </c>
      <c r="S81" s="163">
        <f>IF(B81="CA三大检索",8,0)</f>
        <v>0</v>
      </c>
      <c r="T81" s="163">
        <f>IF(B81="一般期刊、外文期刊",5,0)</f>
        <v>0</v>
      </c>
      <c r="U81" s="163">
        <f>IF(B81="国际学术会议论文集",5,0)</f>
        <v>0</v>
      </c>
      <c r="V81" s="163">
        <f>IF(B81="国家级重要报刊",15,0)</f>
        <v>0</v>
      </c>
      <c r="W81" s="163">
        <f>IF(B81="省级重要报刊理论版",12,0)</f>
        <v>0</v>
      </c>
      <c r="X81" s="163">
        <f>IF(B81="市级重要报刊",5,0)</f>
        <v>0</v>
      </c>
      <c r="Y81" s="161" t="str">
        <f>IF(B81&lt;&gt;"",(IF(OR(B81="一般期刊、外文期刊",B81="国际学术会议论文集",B81="市级重要报刊"),5,IF(OR(B81="中文核心期刊",B81="国家级重要报刊"),15,IF(B81="CA三大检索",8,IF(B81="JA三大检索",20,IF(B81="省级重要报刊理论版",12,0))))))*L81,"")</f>
        <v/>
      </c>
      <c r="Z81" s="122">
        <f>IF(AND(OR(B81="JA三大检索",B81="中文核心期刊"),OR(I81="独立完成",K81=1)),1,0)</f>
        <v>0</v>
      </c>
      <c r="AA81" s="123"/>
      <c r="AB81" s="30">
        <f>IF(OR(I81="独立完成",K81=1),1,0)</f>
        <v>0</v>
      </c>
      <c r="AP81" s="124"/>
      <c r="AQ81" s="124"/>
      <c r="AR81" s="124"/>
      <c r="AS81" s="124"/>
      <c r="AT81" s="124"/>
      <c r="AU81" s="124"/>
      <c r="AV81" s="124"/>
      <c r="AW81" s="124"/>
      <c r="AX81" s="124"/>
      <c r="AY81" s="124"/>
      <c r="AZ81" s="124"/>
      <c r="BA81" s="124"/>
      <c r="BB81" s="124"/>
      <c r="BC81" s="124"/>
      <c r="BD81" s="124"/>
      <c r="BE81" s="124"/>
      <c r="BF81" s="124"/>
      <c r="BG81" s="124"/>
      <c r="BH81" s="124"/>
    </row>
    <row r="82" ht="31" customHeight="1" spans="1:60">
      <c r="A82" s="33"/>
      <c r="B82" s="130"/>
      <c r="C82" s="131"/>
      <c r="D82" s="132"/>
      <c r="E82" s="132"/>
      <c r="F82" s="131"/>
      <c r="G82" s="132"/>
      <c r="H82" s="131"/>
      <c r="I82" s="131"/>
      <c r="J82" s="153"/>
      <c r="K82" s="154"/>
      <c r="L82" s="155" t="str">
        <f>IF(B82&lt;&gt;"",IF(I82="独立完成",1,IF(I82="合作完成",P82))*(IF(H82="否",0.5,IF(H82="是",1,0))),"")</f>
        <v/>
      </c>
      <c r="M82" s="155" t="str">
        <f>IF(B82&lt;&gt;"",SUM(Q82:X82)*L82,"")</f>
        <v/>
      </c>
      <c r="N82" s="156"/>
      <c r="O82" s="156"/>
      <c r="P82" s="156">
        <f>IF(K82=1,0.8,IF(K82=2,0.2,IF(K82&gt;2,0.1,0)))</f>
        <v>0</v>
      </c>
      <c r="Q82" s="163">
        <f>IF(B82="JA三大检索",20,0)</f>
        <v>0</v>
      </c>
      <c r="R82" s="163">
        <f>IF(B82="中文核心期刊",15,0)</f>
        <v>0</v>
      </c>
      <c r="S82" s="163">
        <f>IF(B82="CA三大检索",8,0)</f>
        <v>0</v>
      </c>
      <c r="T82" s="163">
        <f>IF(B82="一般期刊、外文期刊",5,0)</f>
        <v>0</v>
      </c>
      <c r="U82" s="163">
        <f>IF(B82="国际学术会议论文集",5,0)</f>
        <v>0</v>
      </c>
      <c r="V82" s="163">
        <f>IF(B82="国家级重要报刊",15,0)</f>
        <v>0</v>
      </c>
      <c r="W82" s="163">
        <f>IF(B82="省级重要报刊理论版",12,0)</f>
        <v>0</v>
      </c>
      <c r="X82" s="163">
        <f>IF(B82="市级重要报刊",5,0)</f>
        <v>0</v>
      </c>
      <c r="Y82" s="161" t="str">
        <f>IF(B82&lt;&gt;"",(IF(OR(B82="一般期刊、外文期刊",B82="国际学术会议论文集",B82="市级重要报刊"),5,IF(OR(B82="中文核心期刊",B82="国家级重要报刊"),15,IF(B82="CA三大检索",8,IF(B82="JA三大检索",20,IF(B82="省级重要报刊理论版",12,0))))))*L82,"")</f>
        <v/>
      </c>
      <c r="Z82" s="122">
        <f>IF(AND(OR(B82="JA三大检索",B82="中文核心期刊"),OR(I82="独立完成",K82=1)),1,0)</f>
        <v>0</v>
      </c>
      <c r="AA82" s="123"/>
      <c r="AB82" s="30">
        <f>IF(OR(I82="独立完成",K82=1),1,0)</f>
        <v>0</v>
      </c>
      <c r="AP82" s="124"/>
      <c r="AQ82" s="124"/>
      <c r="AR82" s="124"/>
      <c r="AS82" s="124"/>
      <c r="AT82" s="124"/>
      <c r="AU82" s="124"/>
      <c r="AV82" s="124"/>
      <c r="AW82" s="124"/>
      <c r="AX82" s="124"/>
      <c r="AY82" s="124"/>
      <c r="AZ82" s="124"/>
      <c r="BA82" s="124"/>
      <c r="BB82" s="124"/>
      <c r="BC82" s="124"/>
      <c r="BD82" s="124"/>
      <c r="BE82" s="124"/>
      <c r="BF82" s="124"/>
      <c r="BG82" s="124"/>
      <c r="BH82" s="124"/>
    </row>
    <row r="83" ht="31" customHeight="1" spans="1:60">
      <c r="A83" s="33"/>
      <c r="B83" s="130"/>
      <c r="C83" s="131"/>
      <c r="D83" s="132"/>
      <c r="E83" s="132"/>
      <c r="F83" s="131"/>
      <c r="G83" s="132"/>
      <c r="H83" s="131"/>
      <c r="I83" s="131"/>
      <c r="J83" s="153"/>
      <c r="K83" s="154"/>
      <c r="L83" s="155" t="str">
        <f>IF(B83&lt;&gt;"",IF(I83="独立完成",1,IF(I83="合作完成",P83))*(IF(H83="否",0.5,IF(H83="是",1,0))),"")</f>
        <v/>
      </c>
      <c r="M83" s="155" t="str">
        <f>IF(B83&lt;&gt;"",SUM(Q83:X83)*L83,"")</f>
        <v/>
      </c>
      <c r="N83" s="156"/>
      <c r="O83" s="156"/>
      <c r="P83" s="156">
        <f>IF(K83=1,0.8,IF(K83=2,0.2,IF(K83&gt;2,0.1,0)))</f>
        <v>0</v>
      </c>
      <c r="Q83" s="163">
        <f>IF(B83="JA三大检索",20,0)</f>
        <v>0</v>
      </c>
      <c r="R83" s="163">
        <f>IF(B83="中文核心期刊",15,0)</f>
        <v>0</v>
      </c>
      <c r="S83" s="163">
        <f>IF(B83="CA三大检索",8,0)</f>
        <v>0</v>
      </c>
      <c r="T83" s="163">
        <f>IF(B83="一般期刊、外文期刊",5,0)</f>
        <v>0</v>
      </c>
      <c r="U83" s="163">
        <f>IF(B83="国际学术会议论文集",5,0)</f>
        <v>0</v>
      </c>
      <c r="V83" s="163">
        <f>IF(B83="国家级重要报刊",15,0)</f>
        <v>0</v>
      </c>
      <c r="W83" s="163">
        <f>IF(B83="省级重要报刊理论版",12,0)</f>
        <v>0</v>
      </c>
      <c r="X83" s="163">
        <f>IF(B83="市级重要报刊",5,0)</f>
        <v>0</v>
      </c>
      <c r="Y83" s="161" t="str">
        <f>IF(B83&lt;&gt;"",(IF(OR(B83="一般期刊、外文期刊",B83="国际学术会议论文集",B83="市级重要报刊"),5,IF(OR(B83="中文核心期刊",B83="国家级重要报刊"),15,IF(B83="CA三大检索",8,IF(B83="JA三大检索",20,IF(B83="省级重要报刊理论版",12,0))))))*L83,"")</f>
        <v/>
      </c>
      <c r="Z83" s="122">
        <f>IF(AND(OR(B83="JA三大检索",B83="中文核心期刊"),OR(I83="独立完成",K83=1)),1,0)</f>
        <v>0</v>
      </c>
      <c r="AA83" s="123"/>
      <c r="AB83" s="30">
        <f>IF(OR(I83="独立完成",K83=1),1,0)</f>
        <v>0</v>
      </c>
      <c r="AP83" s="124"/>
      <c r="AQ83" s="124"/>
      <c r="AR83" s="124"/>
      <c r="AS83" s="124"/>
      <c r="AT83" s="124"/>
      <c r="AU83" s="124"/>
      <c r="AV83" s="124"/>
      <c r="AW83" s="124"/>
      <c r="AX83" s="124"/>
      <c r="AY83" s="124"/>
      <c r="AZ83" s="124"/>
      <c r="BA83" s="124"/>
      <c r="BB83" s="124"/>
      <c r="BC83" s="124"/>
      <c r="BD83" s="124"/>
      <c r="BE83" s="124"/>
      <c r="BF83" s="124"/>
      <c r="BG83" s="124"/>
      <c r="BH83" s="124"/>
    </row>
    <row r="84" ht="31" customHeight="1" spans="1:60">
      <c r="A84" s="33"/>
      <c r="B84" s="130"/>
      <c r="C84" s="131"/>
      <c r="D84" s="132"/>
      <c r="E84" s="132"/>
      <c r="F84" s="131"/>
      <c r="G84" s="132"/>
      <c r="H84" s="131"/>
      <c r="I84" s="131"/>
      <c r="J84" s="153"/>
      <c r="K84" s="154"/>
      <c r="L84" s="155" t="str">
        <f>IF(B84&lt;&gt;"",IF(I84="独立完成",1,IF(I84="合作完成",P84))*(IF(H84="否",0.5,IF(H84="是",1,0))),"")</f>
        <v/>
      </c>
      <c r="M84" s="155" t="str">
        <f>IF(B84&lt;&gt;"",SUM(Q84:X84)*L84,"")</f>
        <v/>
      </c>
      <c r="N84" s="156"/>
      <c r="O84" s="156"/>
      <c r="P84" s="156">
        <f>IF(K84=1,0.8,IF(K84=2,0.2,IF(K84&gt;2,0.1,0)))</f>
        <v>0</v>
      </c>
      <c r="Q84" s="163">
        <f>IF(B84="JA三大检索",20,0)</f>
        <v>0</v>
      </c>
      <c r="R84" s="163">
        <f>IF(B84="中文核心期刊",15,0)</f>
        <v>0</v>
      </c>
      <c r="S84" s="163">
        <f>IF(B84="CA三大检索",8,0)</f>
        <v>0</v>
      </c>
      <c r="T84" s="163">
        <f>IF(B84="一般期刊、外文期刊",5,0)</f>
        <v>0</v>
      </c>
      <c r="U84" s="163">
        <f>IF(B84="国际学术会议论文集",5,0)</f>
        <v>0</v>
      </c>
      <c r="V84" s="163">
        <f>IF(B84="国家级重要报刊",15,0)</f>
        <v>0</v>
      </c>
      <c r="W84" s="163">
        <f>IF(B84="省级重要报刊理论版",12,0)</f>
        <v>0</v>
      </c>
      <c r="X84" s="163">
        <f>IF(B84="市级重要报刊",5,0)</f>
        <v>0</v>
      </c>
      <c r="Y84" s="161" t="str">
        <f>IF(B84&lt;&gt;"",(IF(OR(B84="一般期刊、外文期刊",B84="国际学术会议论文集",B84="市级重要报刊"),5,IF(OR(B84="中文核心期刊",B84="国家级重要报刊"),15,IF(B84="CA三大检索",8,IF(B84="JA三大检索",20,IF(B84="省级重要报刊理论版",12,0))))))*L84,"")</f>
        <v/>
      </c>
      <c r="Z84" s="122">
        <f>IF(AND(OR(B84="JA三大检索",B84="中文核心期刊"),OR(I84="独立完成",K84=1)),1,0)</f>
        <v>0</v>
      </c>
      <c r="AA84" s="123"/>
      <c r="AB84" s="30">
        <f>IF(OR(I84="独立完成",K84=1),1,0)</f>
        <v>0</v>
      </c>
      <c r="AP84" s="124"/>
      <c r="AQ84" s="124"/>
      <c r="AR84" s="124"/>
      <c r="AS84" s="124"/>
      <c r="AT84" s="124"/>
      <c r="AU84" s="124"/>
      <c r="AV84" s="124"/>
      <c r="AW84" s="124"/>
      <c r="AX84" s="124"/>
      <c r="AY84" s="124"/>
      <c r="AZ84" s="124"/>
      <c r="BA84" s="124"/>
      <c r="BB84" s="124"/>
      <c r="BC84" s="124"/>
      <c r="BD84" s="124"/>
      <c r="BE84" s="124"/>
      <c r="BF84" s="124"/>
      <c r="BG84" s="124"/>
      <c r="BH84" s="124"/>
    </row>
    <row r="85" ht="31" customHeight="1" spans="1:60">
      <c r="A85" s="33"/>
      <c r="B85" s="133" t="s">
        <v>61</v>
      </c>
      <c r="C85" s="134"/>
      <c r="D85" s="134"/>
      <c r="E85" s="134"/>
      <c r="F85" s="134"/>
      <c r="G85" s="134"/>
      <c r="H85" s="134"/>
      <c r="I85" s="134"/>
      <c r="J85" s="134"/>
      <c r="K85" s="134"/>
      <c r="L85" s="157"/>
      <c r="M85" s="155">
        <f>IF(M81&lt;&gt;"",SUM(M81:M84),0)</f>
        <v>0</v>
      </c>
      <c r="N85" s="158"/>
      <c r="O85" s="158"/>
      <c r="AP85" s="124"/>
      <c r="AQ85" s="124"/>
      <c r="AR85" s="124"/>
      <c r="AS85" s="124"/>
      <c r="AT85" s="124"/>
      <c r="AU85" s="124"/>
      <c r="AV85" s="124"/>
      <c r="AW85" s="124"/>
      <c r="AX85" s="124"/>
      <c r="AY85" s="124"/>
      <c r="AZ85" s="124"/>
      <c r="BA85" s="124"/>
      <c r="BB85" s="124"/>
      <c r="BC85" s="124"/>
      <c r="BD85" s="124"/>
      <c r="BE85" s="124"/>
      <c r="BF85" s="124"/>
      <c r="BG85" s="124"/>
      <c r="BH85" s="124"/>
    </row>
    <row r="86" ht="31" customHeight="1" spans="1:60">
      <c r="A86" s="33"/>
      <c r="B86" s="129" t="s">
        <v>104</v>
      </c>
      <c r="C86" s="129"/>
      <c r="D86" s="129"/>
      <c r="E86" s="129"/>
      <c r="F86" s="129"/>
      <c r="G86" s="129"/>
      <c r="H86" s="129"/>
      <c r="I86" s="129"/>
      <c r="J86" s="129"/>
      <c r="K86" s="129"/>
      <c r="L86" s="129"/>
      <c r="M86" s="129"/>
      <c r="N86" s="129"/>
      <c r="O86" s="129"/>
      <c r="AP86" s="124"/>
      <c r="AQ86" s="124"/>
      <c r="AR86" s="124"/>
      <c r="AS86" s="124"/>
      <c r="AT86" s="124"/>
      <c r="AU86" s="124"/>
      <c r="AV86" s="124"/>
      <c r="AW86" s="124"/>
      <c r="AX86" s="124"/>
      <c r="AY86" s="124"/>
      <c r="AZ86" s="124"/>
      <c r="BA86" s="124"/>
      <c r="BB86" s="124"/>
      <c r="BC86" s="124"/>
      <c r="BD86" s="124"/>
      <c r="BE86" s="124"/>
      <c r="BF86" s="124"/>
      <c r="BG86" s="124"/>
      <c r="BH86" s="124"/>
    </row>
    <row r="87" ht="31" customHeight="1" spans="1:60">
      <c r="A87" s="33"/>
      <c r="B87" s="90" t="s">
        <v>105</v>
      </c>
      <c r="C87" s="75" t="s">
        <v>106</v>
      </c>
      <c r="D87" s="76"/>
      <c r="E87" s="77"/>
      <c r="F87" s="75" t="s">
        <v>107</v>
      </c>
      <c r="G87" s="120"/>
      <c r="H87" s="135" t="s">
        <v>108</v>
      </c>
      <c r="I87" s="58" t="s">
        <v>109</v>
      </c>
      <c r="J87" s="148" t="s">
        <v>110</v>
      </c>
      <c r="K87" s="58" t="s">
        <v>111</v>
      </c>
      <c r="L87" s="58" t="s">
        <v>90</v>
      </c>
      <c r="M87" s="58" t="s">
        <v>91</v>
      </c>
      <c r="N87" s="58" t="s">
        <v>39</v>
      </c>
      <c r="O87" s="58" t="s">
        <v>40</v>
      </c>
      <c r="P87" s="30" t="s">
        <v>112</v>
      </c>
      <c r="Q87" s="161" t="s">
        <v>113</v>
      </c>
      <c r="R87" s="30" t="s">
        <v>114</v>
      </c>
      <c r="S87" s="121" t="s">
        <v>115</v>
      </c>
      <c r="T87" s="114" t="s">
        <v>116</v>
      </c>
      <c r="U87" s="121" t="s">
        <v>117</v>
      </c>
      <c r="V87" s="121" t="s">
        <v>118</v>
      </c>
      <c r="W87" s="121" t="s">
        <v>119</v>
      </c>
      <c r="X87" s="121" t="s">
        <v>120</v>
      </c>
      <c r="Y87" s="121" t="s">
        <v>121</v>
      </c>
      <c r="Z87" s="121" t="s">
        <v>122</v>
      </c>
      <c r="AA87" s="121" t="s">
        <v>123</v>
      </c>
      <c r="AB87" s="122" t="s">
        <v>124</v>
      </c>
      <c r="AC87" s="123"/>
      <c r="AD87" s="114" t="s">
        <v>125</v>
      </c>
      <c r="AP87" s="124"/>
      <c r="AQ87" s="124"/>
      <c r="AR87" s="124"/>
      <c r="AS87" s="124"/>
      <c r="AT87" s="124"/>
      <c r="AU87" s="124"/>
      <c r="AV87" s="124"/>
      <c r="AW87" s="124"/>
      <c r="AX87" s="124"/>
      <c r="AY87" s="124"/>
      <c r="AZ87" s="124"/>
      <c r="BA87" s="124"/>
      <c r="BB87" s="124"/>
      <c r="BC87" s="124"/>
      <c r="BD87" s="124"/>
      <c r="BE87" s="124"/>
      <c r="BF87" s="124"/>
      <c r="BG87" s="124"/>
      <c r="BH87" s="124"/>
    </row>
    <row r="88" ht="31" customHeight="1" spans="1:60">
      <c r="A88" s="33"/>
      <c r="B88" s="130"/>
      <c r="C88" s="136"/>
      <c r="D88" s="137"/>
      <c r="E88" s="138"/>
      <c r="F88" s="136"/>
      <c r="G88" s="138"/>
      <c r="H88" s="131"/>
      <c r="I88" s="159"/>
      <c r="J88" s="160"/>
      <c r="K88" s="131"/>
      <c r="L88" s="155" t="str">
        <f>IF(B88&lt;&gt;"",P88*R88,"")</f>
        <v/>
      </c>
      <c r="M88" s="155" t="str">
        <f>IF(B88&lt;&gt;"",SUM(S88:AA88)*J88*L88,"")</f>
        <v/>
      </c>
      <c r="N88" s="156"/>
      <c r="O88" s="30"/>
      <c r="P88" s="30">
        <f>IF(OR(K88="独著",K88="第一主编"),1,IF(K88="第二主编",0.8,IF(K88="参编",0.6,0)))</f>
        <v>0</v>
      </c>
      <c r="Q88" s="161">
        <f>IF(B88&lt;&gt;"",(IF(OR(B88="普通教材",B88="市级（地方）标准"),0.3,IF(OR(B88="省级规划教材",B88="省部级（行业）标准"),0.6,IF(OR(B88="国家级规划教材",B88="国家级标准"),0.8,IF(B88="编著、译著",1,IF(B88="学术专著",1.5,IF(B88="校本教材、实训指导书",0.1))))))),0)</f>
        <v>0</v>
      </c>
      <c r="R88" s="30">
        <f>IF(B88&lt;&gt;"",(IF(H88="否",1,IF(AND(B88="国家级规划教材",H88="是"),0.6,IF(AND(B88="省级规划教材",H88="是"),0.4,0)))),0)</f>
        <v>0</v>
      </c>
      <c r="S88" s="30">
        <f>IF(B88="普通教材",0.3,0)</f>
        <v>0</v>
      </c>
      <c r="T88" s="30">
        <f>IF(B88="省级规划教材",0.6,0)</f>
        <v>0</v>
      </c>
      <c r="U88" s="30">
        <f>IF(B88="国家级规划教材",0.8,0)</f>
        <v>0</v>
      </c>
      <c r="V88" s="30">
        <f>IF(B88="编著、译著",1,0)</f>
        <v>0</v>
      </c>
      <c r="W88" s="30">
        <f>IF(B88="学术专著",1.5,0)</f>
        <v>0</v>
      </c>
      <c r="X88" s="30">
        <f>IF(B88="校本教材、实训指导书",0.1,0)</f>
        <v>0</v>
      </c>
      <c r="Y88" s="30">
        <f>IF(B88="国家级标准",0.8,0)</f>
        <v>0</v>
      </c>
      <c r="Z88" s="30">
        <f>IF(B88="省部级（行业）标准",0.6,0)</f>
        <v>0</v>
      </c>
      <c r="AA88" s="30">
        <f>IF(B88="市级（地方）标准",0.3,0)</f>
        <v>0</v>
      </c>
      <c r="AB88" s="122">
        <f>IF(AND(OR(K88="独著",K88="第一主编",K88="第二主编"),AND(J88&lt;&gt;""&gt;J88&gt;=3)),1,0)</f>
        <v>0</v>
      </c>
      <c r="AC88" s="123"/>
      <c r="AD88" s="30">
        <f>IF(AND(J88&lt;&gt;"",J88&gt;=5),1,0)</f>
        <v>0</v>
      </c>
      <c r="AP88" s="124"/>
      <c r="AQ88" s="124"/>
      <c r="AR88" s="124"/>
      <c r="AS88" s="124"/>
      <c r="AT88" s="124"/>
      <c r="AU88" s="124"/>
      <c r="AV88" s="124"/>
      <c r="AW88" s="124"/>
      <c r="AX88" s="124"/>
      <c r="AY88" s="124"/>
      <c r="AZ88" s="124"/>
      <c r="BA88" s="124"/>
      <c r="BB88" s="124"/>
      <c r="BC88" s="124"/>
      <c r="BD88" s="124"/>
      <c r="BE88" s="124"/>
      <c r="BF88" s="124"/>
      <c r="BG88" s="124"/>
      <c r="BH88" s="124"/>
    </row>
    <row r="89" ht="31" customHeight="1" spans="1:60">
      <c r="A89" s="33"/>
      <c r="B89" s="130"/>
      <c r="C89" s="136"/>
      <c r="D89" s="137"/>
      <c r="E89" s="138"/>
      <c r="F89" s="136"/>
      <c r="G89" s="139"/>
      <c r="H89" s="131"/>
      <c r="I89" s="159"/>
      <c r="J89" s="160"/>
      <c r="K89" s="131"/>
      <c r="L89" s="155" t="str">
        <f>IF(B89&lt;&gt;"",P89*R89,"")</f>
        <v/>
      </c>
      <c r="M89" s="155" t="str">
        <f>IF(B89&lt;&gt;"",SUM(S89:AA89)*J89*L89,"")</f>
        <v/>
      </c>
      <c r="N89" s="156"/>
      <c r="O89" s="30"/>
      <c r="P89" s="30">
        <f>IF(OR(K89="独著",K89="第一主编"),1,IF(K89="第二主编",0.8,IF(K89="参编",0.6,0)))</f>
        <v>0</v>
      </c>
      <c r="Q89" s="161">
        <f>IF(B89&lt;&gt;"",(IF(OR(B89="普通教材",B89="市级（地方）标准"),0.3,IF(OR(B89="省级规划教材",B89="省部级（行业）标准"),0.6,IF(OR(B89="国家级规划教材",B89="国家级标准"),0.8,IF(B89="编著、译著",1,IF(B89="学术专著",1.5,IF(B89="校本教材、实训指导书",0.1))))))),0)</f>
        <v>0</v>
      </c>
      <c r="R89" s="30">
        <f>IF(B89&lt;&gt;"",(IF(H89="否",1,IF(AND(B89="国家级规划教材",H89="是"),0.6,IF(AND(B89="省级规划教材",H89="是"),0.4,0)))),0)</f>
        <v>0</v>
      </c>
      <c r="S89" s="30">
        <f>IF(B89="普通教材",0.3,0)</f>
        <v>0</v>
      </c>
      <c r="T89" s="30">
        <f>IF(B89="省级规划教材",0.6,0)</f>
        <v>0</v>
      </c>
      <c r="U89" s="30">
        <f>IF(B89="国家级规划教材",0.8,0)</f>
        <v>0</v>
      </c>
      <c r="V89" s="30">
        <f>IF(B89="编著、译著",1,0)</f>
        <v>0</v>
      </c>
      <c r="W89" s="30">
        <f>IF(B89="学术专著",1.5,0)</f>
        <v>0</v>
      </c>
      <c r="X89" s="30">
        <f>IF(B89="校本教材、实训指导书",0.1,0)</f>
        <v>0</v>
      </c>
      <c r="Y89" s="30">
        <f>IF(B89="国家级标准",0.8,0)</f>
        <v>0</v>
      </c>
      <c r="Z89" s="30">
        <f>IF(B89="省部级（行业）标准",0.6,0)</f>
        <v>0</v>
      </c>
      <c r="AA89" s="30">
        <f>IF(B89="市级（地方）标准",0.3,0)</f>
        <v>0</v>
      </c>
      <c r="AB89" s="122">
        <f>IF(AND(OR(K89="独著",K89="第一主编",K89="第二主编"),AND(J89&lt;&gt;""&gt;J89&gt;=3)),1,0)</f>
        <v>0</v>
      </c>
      <c r="AC89" s="123"/>
      <c r="AD89" s="30">
        <f>IF(AND(J89&lt;&gt;"",J89&gt;=5),1,0)</f>
        <v>0</v>
      </c>
      <c r="AP89" s="124"/>
      <c r="AQ89" s="124"/>
      <c r="AR89" s="124"/>
      <c r="AS89" s="124"/>
      <c r="AT89" s="124"/>
      <c r="AU89" s="124"/>
      <c r="AV89" s="124"/>
      <c r="AW89" s="124"/>
      <c r="AX89" s="124"/>
      <c r="AY89" s="124"/>
      <c r="AZ89" s="124"/>
      <c r="BA89" s="124"/>
      <c r="BB89" s="124"/>
      <c r="BC89" s="124"/>
      <c r="BD89" s="124"/>
      <c r="BE89" s="124"/>
      <c r="BF89" s="124"/>
      <c r="BG89" s="124"/>
      <c r="BH89" s="124"/>
    </row>
    <row r="90" ht="31" customHeight="1" spans="1:60">
      <c r="A90" s="33"/>
      <c r="B90" s="133" t="s">
        <v>61</v>
      </c>
      <c r="C90" s="134"/>
      <c r="D90" s="134"/>
      <c r="E90" s="134"/>
      <c r="F90" s="134"/>
      <c r="G90" s="134"/>
      <c r="H90" s="134"/>
      <c r="I90" s="134"/>
      <c r="J90" s="134"/>
      <c r="K90" s="134"/>
      <c r="L90" s="157"/>
      <c r="M90" s="155">
        <f>IF(M88&lt;&gt;"",SUM(M88:M89),0)</f>
        <v>0</v>
      </c>
      <c r="N90" s="158"/>
      <c r="O90" s="158"/>
      <c r="AP90" s="124"/>
      <c r="AQ90" s="124"/>
      <c r="AR90" s="124"/>
      <c r="AS90" s="124"/>
      <c r="AT90" s="124"/>
      <c r="AU90" s="124"/>
      <c r="AV90" s="124"/>
      <c r="AW90" s="124"/>
      <c r="AX90" s="124"/>
      <c r="AY90" s="124"/>
      <c r="AZ90" s="124"/>
      <c r="BA90" s="124"/>
      <c r="BB90" s="124"/>
      <c r="BC90" s="124"/>
      <c r="BD90" s="124"/>
      <c r="BE90" s="124"/>
      <c r="BF90" s="124"/>
      <c r="BG90" s="124"/>
      <c r="BH90" s="124"/>
    </row>
    <row r="91" ht="31" customHeight="1" spans="1:60">
      <c r="A91" s="33"/>
      <c r="B91" s="129" t="s">
        <v>126</v>
      </c>
      <c r="C91" s="129"/>
      <c r="D91" s="129"/>
      <c r="E91" s="129"/>
      <c r="F91" s="129"/>
      <c r="G91" s="129"/>
      <c r="H91" s="129"/>
      <c r="I91" s="129"/>
      <c r="J91" s="129"/>
      <c r="K91" s="129"/>
      <c r="L91" s="129"/>
      <c r="M91" s="129"/>
      <c r="N91" s="129"/>
      <c r="O91" s="129"/>
      <c r="AP91" s="124"/>
      <c r="AQ91" s="124"/>
      <c r="AR91" s="124"/>
      <c r="AS91" s="124"/>
      <c r="AT91" s="124"/>
      <c r="AU91" s="124"/>
      <c r="AV91" s="124"/>
      <c r="AW91" s="124"/>
      <c r="AX91" s="124"/>
      <c r="AY91" s="124"/>
      <c r="AZ91" s="124"/>
      <c r="BA91" s="124"/>
      <c r="BB91" s="124"/>
      <c r="BC91" s="124"/>
      <c r="BD91" s="124"/>
      <c r="BE91" s="124"/>
      <c r="BF91" s="124"/>
      <c r="BG91" s="124"/>
      <c r="BH91" s="124"/>
    </row>
    <row r="92" ht="31" customHeight="1" spans="1:60">
      <c r="A92" s="33"/>
      <c r="B92" s="90" t="s">
        <v>127</v>
      </c>
      <c r="C92" s="90" t="s">
        <v>128</v>
      </c>
      <c r="D92" s="90"/>
      <c r="E92" s="90"/>
      <c r="F92" s="90"/>
      <c r="G92" s="90" t="s">
        <v>129</v>
      </c>
      <c r="H92" s="58" t="s">
        <v>130</v>
      </c>
      <c r="I92" s="58" t="s">
        <v>88</v>
      </c>
      <c r="J92" s="58" t="s">
        <v>89</v>
      </c>
      <c r="K92" s="58" t="s">
        <v>131</v>
      </c>
      <c r="L92" s="58" t="s">
        <v>90</v>
      </c>
      <c r="M92" s="58" t="s">
        <v>91</v>
      </c>
      <c r="N92" s="58" t="s">
        <v>39</v>
      </c>
      <c r="O92" s="58" t="s">
        <v>40</v>
      </c>
      <c r="P92" s="161" t="s">
        <v>132</v>
      </c>
      <c r="Q92" s="30" t="s">
        <v>133</v>
      </c>
      <c r="R92" s="30" t="s">
        <v>92</v>
      </c>
      <c r="S92" s="121" t="s">
        <v>134</v>
      </c>
      <c r="T92" s="121" t="s">
        <v>135</v>
      </c>
      <c r="U92" s="121" t="s">
        <v>136</v>
      </c>
      <c r="V92" s="121" t="s">
        <v>137</v>
      </c>
      <c r="W92" s="121" t="s">
        <v>138</v>
      </c>
      <c r="X92" s="121" t="s">
        <v>139</v>
      </c>
      <c r="Y92" s="171" t="s">
        <v>140</v>
      </c>
      <c r="Z92" s="172"/>
      <c r="AA92" s="171" t="s">
        <v>141</v>
      </c>
      <c r="AB92" s="172"/>
      <c r="AP92" s="124"/>
      <c r="AQ92" s="124"/>
      <c r="AR92" s="124"/>
      <c r="AS92" s="124"/>
      <c r="AT92" s="124"/>
      <c r="AU92" s="124"/>
      <c r="AV92" s="124"/>
      <c r="AW92" s="124"/>
      <c r="AX92" s="124"/>
      <c r="AY92" s="124"/>
      <c r="AZ92" s="124"/>
      <c r="BA92" s="124"/>
      <c r="BB92" s="124"/>
      <c r="BC92" s="124"/>
      <c r="BD92" s="124"/>
      <c r="BE92" s="124"/>
      <c r="BF92" s="124"/>
      <c r="BG92" s="124"/>
      <c r="BH92" s="124"/>
    </row>
    <row r="93" ht="31" customHeight="1" spans="1:60">
      <c r="A93" s="33"/>
      <c r="B93" s="130"/>
      <c r="C93" s="131"/>
      <c r="D93" s="131"/>
      <c r="E93" s="131"/>
      <c r="F93" s="131"/>
      <c r="G93" s="140"/>
      <c r="H93" s="140"/>
      <c r="I93" s="140"/>
      <c r="J93" s="140"/>
      <c r="K93" s="162"/>
      <c r="L93" s="155" t="str">
        <f>IF(B93&lt;&gt;"",R93,"")</f>
        <v/>
      </c>
      <c r="M93" s="155" t="str">
        <f>IF(B93&lt;&gt;"",SUM(S93:X93)*L93,"")</f>
        <v/>
      </c>
      <c r="N93" s="156"/>
      <c r="O93" s="163"/>
      <c r="P93" s="164">
        <f>IF(B93="国家级课题项目",40,IF(B93="省级课题项目",20,IF(B93="横向课题项目",2,IF(B93="市级课题项目",7,IF(B93="校级课题项目",5,0)))))</f>
        <v>0</v>
      </c>
      <c r="Q93" s="163">
        <f>IF(AND(B93="横向课题项目",K93&gt;=1),INT((K93-1)*10)*0.1,0)</f>
        <v>0</v>
      </c>
      <c r="R93" s="30">
        <f>IF(H93="独立完成",1,IF(J93=1,0.8,IF(J93=2,0.2,IF(J93=3,0.1,IF(J93&gt;3,0.05,0)))))</f>
        <v>0</v>
      </c>
      <c r="S93" s="163">
        <f>IF(Q93&gt;18,18,Q93)</f>
        <v>0</v>
      </c>
      <c r="T93" s="30">
        <f>IF(B93="国家级课题项目",40,0)</f>
        <v>0</v>
      </c>
      <c r="U93" s="30">
        <f>IF(B93="省级课题项目",20,0)</f>
        <v>0</v>
      </c>
      <c r="V93" s="30">
        <f>IF(B93="市级课题项目",10,0)</f>
        <v>0</v>
      </c>
      <c r="W93" s="30">
        <f>IF(B93="校级课题项目",5,0)</f>
        <v>0</v>
      </c>
      <c r="X93" s="30">
        <f>IF(B93="横向课题项目",2,0)</f>
        <v>0</v>
      </c>
      <c r="Y93" s="122">
        <f>IF(AND(OR(B93="国家级课题项目",B93="省级课题项目",B93="市级课题项目"),OR(H93="独立完成",J93=1)),1,0)</f>
        <v>0</v>
      </c>
      <c r="Z93" s="123"/>
      <c r="AA93" s="122">
        <f>IF(AND(OR(B93="国家级课题项目",B93="省级课题项目"),AND(J93&lt;&gt;"",J93&lt;4)),1,0)</f>
        <v>0</v>
      </c>
      <c r="AB93" s="123"/>
      <c r="AP93" s="124"/>
      <c r="AQ93" s="124"/>
      <c r="AR93" s="124"/>
      <c r="AS93" s="124"/>
      <c r="AT93" s="124"/>
      <c r="AU93" s="124"/>
      <c r="AV93" s="124"/>
      <c r="AW93" s="124"/>
      <c r="AX93" s="124"/>
      <c r="AY93" s="124"/>
      <c r="AZ93" s="124"/>
      <c r="BA93" s="124"/>
      <c r="BB93" s="124"/>
      <c r="BC93" s="124"/>
      <c r="BD93" s="124"/>
      <c r="BE93" s="124"/>
      <c r="BF93" s="124"/>
      <c r="BG93" s="124"/>
      <c r="BH93" s="124"/>
    </row>
    <row r="94" ht="31" customHeight="1" spans="1:60">
      <c r="A94" s="33"/>
      <c r="B94" s="130"/>
      <c r="C94" s="131"/>
      <c r="D94" s="131"/>
      <c r="E94" s="131"/>
      <c r="F94" s="131"/>
      <c r="G94" s="140"/>
      <c r="H94" s="140"/>
      <c r="I94" s="140"/>
      <c r="J94" s="140"/>
      <c r="K94" s="162"/>
      <c r="L94" s="155" t="str">
        <f>IF(B94&lt;&gt;"",R94,"")</f>
        <v/>
      </c>
      <c r="M94" s="155" t="str">
        <f>IF(B94&lt;&gt;"",SUM(S94:X94)*L94,"")</f>
        <v/>
      </c>
      <c r="N94" s="156"/>
      <c r="O94" s="163"/>
      <c r="P94" s="164">
        <f>IF(B94="国家级课题项目",40,IF(B94="省级课题项目",20,IF(B94="横向课题项目",2,IF(B94="市级课题项目",7,IF(B94="校级课题项目",5,0)))))</f>
        <v>0</v>
      </c>
      <c r="Q94" s="163">
        <f>IF(AND(B94="横向课题项目",K94&gt;=1),INT((K94-1)*10)*0.1,0)</f>
        <v>0</v>
      </c>
      <c r="R94" s="30">
        <f>IF(H94="独立完成",1,IF(J94=1,0.8,IF(J94=2,0.2,IF(J94=3,0.1,IF(J94&gt;3,0.05,0)))))</f>
        <v>0</v>
      </c>
      <c r="S94" s="163">
        <f>IF(Q94&gt;18,18,Q94)</f>
        <v>0</v>
      </c>
      <c r="T94" s="30">
        <f>IF(B94="国家级课题项目",40,0)</f>
        <v>0</v>
      </c>
      <c r="U94" s="30">
        <f>IF(B94="省级课题项目",20,0)</f>
        <v>0</v>
      </c>
      <c r="V94" s="30">
        <f>IF(B94="市级课题项目",10,0)</f>
        <v>0</v>
      </c>
      <c r="W94" s="30">
        <f>IF(B94="校级课题项目",5,0)</f>
        <v>0</v>
      </c>
      <c r="X94" s="30">
        <f>IF(B94="横向课题项目",2,0)</f>
        <v>0</v>
      </c>
      <c r="Y94" s="122">
        <f>IF(AND(OR(B94="国家级课题项目",B94="省级课题项目",B94="市级课题项目"),OR(H94="独立完成",J94=1)),1,0)</f>
        <v>0</v>
      </c>
      <c r="Z94" s="123"/>
      <c r="AA94" s="122">
        <f>IF(AND(OR(B94="国家级课题项目",B94="省级课题项目"),AND(J94&lt;&gt;"",J94&lt;4)),1,0)</f>
        <v>0</v>
      </c>
      <c r="AB94" s="123"/>
      <c r="AP94" s="124"/>
      <c r="AQ94" s="124"/>
      <c r="AR94" s="124"/>
      <c r="AS94" s="124"/>
      <c r="AT94" s="124"/>
      <c r="AU94" s="124"/>
      <c r="AV94" s="124"/>
      <c r="AW94" s="124"/>
      <c r="AX94" s="124"/>
      <c r="AY94" s="124"/>
      <c r="AZ94" s="124"/>
      <c r="BA94" s="124"/>
      <c r="BB94" s="124"/>
      <c r="BC94" s="124"/>
      <c r="BD94" s="124"/>
      <c r="BE94" s="124"/>
      <c r="BF94" s="124"/>
      <c r="BG94" s="124"/>
      <c r="BH94" s="124"/>
    </row>
    <row r="95" ht="31" customHeight="1" spans="1:60">
      <c r="A95" s="33"/>
      <c r="B95" s="130"/>
      <c r="C95" s="131"/>
      <c r="D95" s="131"/>
      <c r="E95" s="131"/>
      <c r="F95" s="131"/>
      <c r="G95" s="140"/>
      <c r="H95" s="140"/>
      <c r="I95" s="140"/>
      <c r="J95" s="140"/>
      <c r="K95" s="162"/>
      <c r="L95" s="155" t="str">
        <f>IF(B95&lt;&gt;"",R95,"")</f>
        <v/>
      </c>
      <c r="M95" s="155" t="str">
        <f>IF(B95&lt;&gt;"",SUM(S95:X95)*L95,"")</f>
        <v/>
      </c>
      <c r="N95" s="156"/>
      <c r="O95" s="163"/>
      <c r="P95" s="164">
        <f>IF(B95="国家级课题项目",40,IF(B95="省级课题项目",20,IF(B95="横向课题项目",2,IF(B95="市级课题项目",7,IF(B95="校级课题项目",5,0)))))</f>
        <v>0</v>
      </c>
      <c r="Q95" s="163">
        <f>IF(AND(B95="横向课题项目",K95&gt;=1),INT((K95-1)*10)*0.1,0)</f>
        <v>0</v>
      </c>
      <c r="R95" s="30">
        <f>IF(H95="独立完成",1,IF(J95=1,0.8,IF(J95=2,0.2,IF(J95=3,0.1,IF(J95&gt;3,0.05,0)))))</f>
        <v>0</v>
      </c>
      <c r="S95" s="163">
        <f>IF(Q95&gt;18,18,Q95)</f>
        <v>0</v>
      </c>
      <c r="T95" s="30">
        <f>IF(B95="国家级课题项目",40,0)</f>
        <v>0</v>
      </c>
      <c r="U95" s="30">
        <f>IF(B95="省级课题项目",20,0)</f>
        <v>0</v>
      </c>
      <c r="V95" s="30">
        <f>IF(B95="市级课题项目",10,0)</f>
        <v>0</v>
      </c>
      <c r="W95" s="30">
        <f>IF(B95="校级课题项目",5,0)</f>
        <v>0</v>
      </c>
      <c r="X95" s="30">
        <f>IF(B95="横向课题项目",2,0)</f>
        <v>0</v>
      </c>
      <c r="Y95" s="122">
        <f>IF(AND(OR(B95="国家级课题项目",B95="省级课题项目",B95="市级课题项目"),OR(H95="独立完成",J95=1)),1,0)</f>
        <v>0</v>
      </c>
      <c r="Z95" s="123"/>
      <c r="AA95" s="122">
        <f>IF(AND(OR(B95="国家级课题项目",B95="省级课题项目"),AND(J95&lt;&gt;"",J95&lt;4)),1,0)</f>
        <v>0</v>
      </c>
      <c r="AB95" s="123"/>
      <c r="AP95" s="124"/>
      <c r="AQ95" s="124"/>
      <c r="AR95" s="124"/>
      <c r="AS95" s="124"/>
      <c r="AT95" s="124"/>
      <c r="AU95" s="124"/>
      <c r="AV95" s="124"/>
      <c r="AW95" s="124"/>
      <c r="AX95" s="124"/>
      <c r="AY95" s="124"/>
      <c r="AZ95" s="124"/>
      <c r="BA95" s="124"/>
      <c r="BB95" s="124"/>
      <c r="BC95" s="124"/>
      <c r="BD95" s="124"/>
      <c r="BE95" s="124"/>
      <c r="BF95" s="124"/>
      <c r="BG95" s="124"/>
      <c r="BH95" s="124"/>
    </row>
    <row r="96" ht="31" customHeight="1" spans="1:60">
      <c r="A96" s="33"/>
      <c r="B96" s="130"/>
      <c r="C96" s="131"/>
      <c r="D96" s="131"/>
      <c r="E96" s="131"/>
      <c r="F96" s="131"/>
      <c r="G96" s="130"/>
      <c r="H96" s="130"/>
      <c r="I96" s="140"/>
      <c r="J96" s="165"/>
      <c r="K96" s="162"/>
      <c r="L96" s="155" t="str">
        <f>IF(B96&lt;&gt;"",R96,"")</f>
        <v/>
      </c>
      <c r="M96" s="155" t="str">
        <f>IF(B96&lt;&gt;"",SUM(S96:X96)*L96,"")</f>
        <v/>
      </c>
      <c r="N96" s="156"/>
      <c r="O96" s="163"/>
      <c r="P96" s="164">
        <f>IF(B96="国家级课题项目",40,IF(B96="省级课题项目",20,IF(B96="横向课题项目",2,IF(B96="市级课题项目",7,IF(B96="校级课题项目",5,0)))))</f>
        <v>0</v>
      </c>
      <c r="Q96" s="163">
        <f>IF(AND(B96="横向课题项目",K96&gt;=1),INT((K96-1)*10)*0.1,0)</f>
        <v>0</v>
      </c>
      <c r="R96" s="30">
        <f>IF(H96="独立完成",1,IF(J96=1,0.8,IF(J96=2,0.2,IF(J96=3,0.1,IF(J96&gt;3,0.05,0)))))</f>
        <v>0</v>
      </c>
      <c r="S96" s="163">
        <f>IF(Q96&gt;18,18,Q96)</f>
        <v>0</v>
      </c>
      <c r="T96" s="30">
        <f>IF(B96="国家级课题项目",40,0)</f>
        <v>0</v>
      </c>
      <c r="U96" s="30">
        <f>IF(B96="省级课题项目",20,0)</f>
        <v>0</v>
      </c>
      <c r="V96" s="30">
        <f>IF(B96="市级课题项目",10,0)</f>
        <v>0</v>
      </c>
      <c r="W96" s="30">
        <f>IF(B96="校级课题项目",5,0)</f>
        <v>0</v>
      </c>
      <c r="X96" s="30">
        <f>IF(B96="横向课题项目",2,0)</f>
        <v>0</v>
      </c>
      <c r="Y96" s="122">
        <f>IF(AND(OR(B96="国家级课题项目",B96="省级课题项目",B96="市级课题项目"),OR(H96="独立完成",J96=1)),1,0)</f>
        <v>0</v>
      </c>
      <c r="Z96" s="123"/>
      <c r="AA96" s="122">
        <f>IF(AND(OR(B96="国家级课题项目",B96="省级课题项目"),AND(J96&lt;&gt;"",J96&lt;4)),1,0)</f>
        <v>0</v>
      </c>
      <c r="AB96" s="123"/>
      <c r="AP96" s="124"/>
      <c r="AQ96" s="124"/>
      <c r="AR96" s="124"/>
      <c r="AS96" s="124"/>
      <c r="AT96" s="124"/>
      <c r="AU96" s="124"/>
      <c r="AV96" s="124"/>
      <c r="AW96" s="124"/>
      <c r="AX96" s="124"/>
      <c r="AY96" s="124"/>
      <c r="AZ96" s="124"/>
      <c r="BA96" s="124"/>
      <c r="BB96" s="124"/>
      <c r="BC96" s="124"/>
      <c r="BD96" s="124"/>
      <c r="BE96" s="124"/>
      <c r="BF96" s="124"/>
      <c r="BG96" s="124"/>
      <c r="BH96" s="124"/>
    </row>
    <row r="97" ht="31" customHeight="1" spans="1:60">
      <c r="A97" s="33"/>
      <c r="B97" s="130"/>
      <c r="C97" s="131"/>
      <c r="D97" s="131"/>
      <c r="E97" s="131"/>
      <c r="F97" s="131"/>
      <c r="G97" s="130"/>
      <c r="H97" s="130"/>
      <c r="I97" s="140"/>
      <c r="J97" s="165"/>
      <c r="K97" s="162"/>
      <c r="L97" s="155" t="str">
        <f>IF(B97&lt;&gt;"",R97,"")</f>
        <v/>
      </c>
      <c r="M97" s="155" t="str">
        <f>IF(B97&lt;&gt;"",SUM(S97:X97)*L97,"")</f>
        <v/>
      </c>
      <c r="N97" s="156"/>
      <c r="O97" s="163"/>
      <c r="P97" s="164">
        <f>IF(B97="国家级课题项目",40,IF(B97="省级课题项目",20,IF(B97="横向课题项目",2,IF(B97="市级课题项目",7,IF(B97="校级课题项目",5,0)))))</f>
        <v>0</v>
      </c>
      <c r="Q97" s="163">
        <f>IF(AND(B97="横向课题项目",K97&gt;=1),INT((K97-1)*10)*0.1,0)</f>
        <v>0</v>
      </c>
      <c r="R97" s="30">
        <f>IF(H97="独立完成",1,IF(J97=1,0.8,IF(J97=2,0.2,IF(J97=3,0.1,IF(J97&gt;3,0.05,0)))))</f>
        <v>0</v>
      </c>
      <c r="S97" s="163">
        <f>IF(Q97&gt;18,18,Q97)</f>
        <v>0</v>
      </c>
      <c r="T97" s="30">
        <f>IF(B97="国家级课题项目",40,0)</f>
        <v>0</v>
      </c>
      <c r="U97" s="30">
        <f>IF(B97="省级课题项目",20,0)</f>
        <v>0</v>
      </c>
      <c r="V97" s="30">
        <f>IF(B97="市级课题项目",10,0)</f>
        <v>0</v>
      </c>
      <c r="W97" s="30">
        <f>IF(B97="校级课题项目",5,0)</f>
        <v>0</v>
      </c>
      <c r="X97" s="30">
        <f>IF(B97="横向课题项目",2,0)</f>
        <v>0</v>
      </c>
      <c r="Y97" s="122">
        <f>IF(AND(OR(B97="国家级课题项目",B97="省级课题项目",B97="市级课题项目"),OR(H97="独立完成",J97=1)),1,0)</f>
        <v>0</v>
      </c>
      <c r="Z97" s="123"/>
      <c r="AA97" s="122">
        <f>IF(AND(OR(B97="国家级课题项目",B97="省级课题项目"),AND(J97&lt;&gt;"",J97&lt;4)),1,0)</f>
        <v>0</v>
      </c>
      <c r="AB97" s="123"/>
      <c r="AP97" s="124"/>
      <c r="AQ97" s="124"/>
      <c r="AR97" s="124"/>
      <c r="AS97" s="124"/>
      <c r="AT97" s="124"/>
      <c r="AU97" s="124"/>
      <c r="AV97" s="124"/>
      <c r="AW97" s="124"/>
      <c r="AX97" s="124"/>
      <c r="AY97" s="124"/>
      <c r="AZ97" s="124"/>
      <c r="BA97" s="124"/>
      <c r="BB97" s="124"/>
      <c r="BC97" s="124"/>
      <c r="BD97" s="124"/>
      <c r="BE97" s="124"/>
      <c r="BF97" s="124"/>
      <c r="BG97" s="124"/>
      <c r="BH97" s="124"/>
    </row>
    <row r="98" ht="31" customHeight="1" spans="1:60">
      <c r="A98" s="33"/>
      <c r="B98" s="133" t="s">
        <v>61</v>
      </c>
      <c r="C98" s="134"/>
      <c r="D98" s="134"/>
      <c r="E98" s="134"/>
      <c r="F98" s="134"/>
      <c r="G98" s="134"/>
      <c r="H98" s="134"/>
      <c r="I98" s="134"/>
      <c r="J98" s="134"/>
      <c r="K98" s="134"/>
      <c r="L98" s="157"/>
      <c r="M98" s="155">
        <f>IF(M93&lt;&gt;"",SUM(M93:M97),0)</f>
        <v>0</v>
      </c>
      <c r="N98" s="158"/>
      <c r="O98" s="158"/>
      <c r="AP98" s="124"/>
      <c r="AQ98" s="124"/>
      <c r="AR98" s="124"/>
      <c r="AS98" s="124"/>
      <c r="AT98" s="124"/>
      <c r="AU98" s="124"/>
      <c r="AV98" s="124"/>
      <c r="AW98" s="124"/>
      <c r="AX98" s="124"/>
      <c r="AY98" s="124"/>
      <c r="AZ98" s="124"/>
      <c r="BA98" s="124"/>
      <c r="BB98" s="124"/>
      <c r="BC98" s="124"/>
      <c r="BD98" s="124"/>
      <c r="BE98" s="124"/>
      <c r="BF98" s="124"/>
      <c r="BG98" s="124"/>
      <c r="BH98" s="124"/>
    </row>
    <row r="99" ht="31" customHeight="1" spans="1:60">
      <c r="A99" s="33"/>
      <c r="B99" s="129" t="s">
        <v>142</v>
      </c>
      <c r="C99" s="129"/>
      <c r="D99" s="129"/>
      <c r="E99" s="129"/>
      <c r="F99" s="129"/>
      <c r="G99" s="129"/>
      <c r="H99" s="129"/>
      <c r="I99" s="129"/>
      <c r="J99" s="129"/>
      <c r="K99" s="129"/>
      <c r="L99" s="129"/>
      <c r="M99" s="129"/>
      <c r="N99" s="129"/>
      <c r="O99" s="129"/>
      <c r="AP99" s="124"/>
      <c r="AQ99" s="124"/>
      <c r="AR99" s="124"/>
      <c r="AS99" s="124"/>
      <c r="AT99" s="124"/>
      <c r="AU99" s="124"/>
      <c r="AV99" s="124"/>
      <c r="AW99" s="124"/>
      <c r="AX99" s="124"/>
      <c r="AY99" s="124"/>
      <c r="AZ99" s="124"/>
      <c r="BA99" s="124"/>
      <c r="BB99" s="124"/>
      <c r="BC99" s="124"/>
      <c r="BD99" s="124"/>
      <c r="BE99" s="124"/>
      <c r="BF99" s="124"/>
      <c r="BG99" s="124"/>
      <c r="BH99" s="124"/>
    </row>
    <row r="100" ht="31" customHeight="1" spans="1:60">
      <c r="A100" s="33"/>
      <c r="B100" s="58" t="s">
        <v>143</v>
      </c>
      <c r="C100" s="58" t="s">
        <v>144</v>
      </c>
      <c r="D100" s="58" t="s">
        <v>128</v>
      </c>
      <c r="E100" s="58"/>
      <c r="F100" s="58"/>
      <c r="G100" s="58" t="s">
        <v>145</v>
      </c>
      <c r="H100" s="58"/>
      <c r="I100" s="58" t="s">
        <v>87</v>
      </c>
      <c r="J100" s="58" t="s">
        <v>88</v>
      </c>
      <c r="K100" s="58" t="s">
        <v>89</v>
      </c>
      <c r="L100" s="158" t="s">
        <v>90</v>
      </c>
      <c r="M100" s="58" t="s">
        <v>91</v>
      </c>
      <c r="N100" s="58" t="s">
        <v>39</v>
      </c>
      <c r="O100" s="58" t="s">
        <v>40</v>
      </c>
      <c r="P100" s="121" t="s">
        <v>92</v>
      </c>
      <c r="Q100" s="121" t="s">
        <v>146</v>
      </c>
      <c r="R100" s="121" t="s">
        <v>147</v>
      </c>
      <c r="S100" s="121" t="s">
        <v>148</v>
      </c>
      <c r="T100" s="121" t="s">
        <v>149</v>
      </c>
      <c r="U100" s="121" t="s">
        <v>150</v>
      </c>
      <c r="V100" s="171" t="s">
        <v>151</v>
      </c>
      <c r="W100" s="172"/>
      <c r="X100" s="171" t="s">
        <v>152</v>
      </c>
      <c r="Y100" s="172"/>
      <c r="AP100" s="124"/>
      <c r="AQ100" s="124"/>
      <c r="AR100" s="124"/>
      <c r="AS100" s="124"/>
      <c r="AT100" s="124"/>
      <c r="AU100" s="124"/>
      <c r="AV100" s="124"/>
      <c r="AW100" s="124"/>
      <c r="AX100" s="124"/>
      <c r="AY100" s="124"/>
      <c r="AZ100" s="124"/>
      <c r="BA100" s="124"/>
      <c r="BB100" s="124"/>
      <c r="BC100" s="124"/>
      <c r="BD100" s="124"/>
      <c r="BE100" s="124"/>
      <c r="BF100" s="124"/>
      <c r="BG100" s="124"/>
      <c r="BH100" s="124"/>
    </row>
    <row r="101" ht="31" customHeight="1" spans="1:60">
      <c r="A101" s="33"/>
      <c r="B101" s="130"/>
      <c r="C101" s="130"/>
      <c r="D101" s="131"/>
      <c r="E101" s="131"/>
      <c r="F101" s="131"/>
      <c r="G101" s="130"/>
      <c r="H101" s="130"/>
      <c r="I101" s="131"/>
      <c r="J101" s="166"/>
      <c r="K101" s="154"/>
      <c r="L101" s="155" t="str">
        <f>IF(B101&lt;&gt;"",P101,"")</f>
        <v/>
      </c>
      <c r="M101" s="155" t="str">
        <f t="shared" ref="M101:M103" si="0">IF(B101&lt;&gt;"",SUM(Q101:U101)*L101,"")</f>
        <v/>
      </c>
      <c r="N101" s="30"/>
      <c r="O101" s="30"/>
      <c r="P101" s="30">
        <f>IF(I101="独立完成",1,IF(K101=1,0.6,IF(K101=2,0.4,IF(K101=3,0.2,IF(K101=4,0.1,IF(K101&gt;4,0.05,0))))))</f>
        <v>0</v>
      </c>
      <c r="Q101" s="30">
        <f>IF(AND(B101="市级成果奖",C101="一等奖"),12,IF(AND(B101="市级成果奖",C101="二等奖"),10,IF(AND(B101="市级成果奖",OR(C101="三等奖",C101="无等级")),8,0)))</f>
        <v>0</v>
      </c>
      <c r="R101" s="30">
        <f>IF(AND(B101="校级成果奖",C101="一等奖"),6,IF(AND(B101="校级成果奖",C101="二等奖"),4,IF(AND(B101="校级成果奖",OR(C101="三等奖",C101="无等级")),2,0)))</f>
        <v>0</v>
      </c>
      <c r="S101" s="30">
        <f>IF(AND(B101="国家级成果奖",C101="一等奖"),100,IF(AND(B101="国家级成果奖",C101="二等奖"),80,IF(AND(B101="国家级成果奖",OR(C101="三等奖",C101="无等级")),60,0)))</f>
        <v>0</v>
      </c>
      <c r="T101" s="30">
        <f>IF(AND(B101="国家开放大学成果奖",C101="一等奖"),30,IF(AND(B101="国家开放大学成果奖",C101="二等奖"),24,IF(AND(B101="国家开放大学成果奖",OR(C101="三等奖",C101="无等级")),18,0)))</f>
        <v>0</v>
      </c>
      <c r="U101" s="30">
        <f>IF(AND(B101="省级成果奖",C101="一等奖"),30,IF(AND(B101="省级成果奖",C101="二等奖"),24,IF(AND(B101="省级成果奖",OR(C101="三等奖",C101="无等级")),18,0)))</f>
        <v>0</v>
      </c>
      <c r="V101" s="122">
        <f>IF(AND(OR(B101="省级成果奖",B101="国家级成果奖",B101="国家开放大学成果奖",AND(B101="市级成果奖",OR(C101="一等奖",C101="二等奖"))),OR(I101="独立完成",K101=1)),1,0)</f>
        <v>0</v>
      </c>
      <c r="W101" s="123"/>
      <c r="X101" s="122">
        <f>IF(AND(OR(B101="省级成果奖",B101="国家级成果奖",B101="国家开放大学成果奖"),AND(K101&lt;&gt;1,K101&lt;&gt;"",K101&lt;4)),1,0)</f>
        <v>0</v>
      </c>
      <c r="Y101" s="123"/>
      <c r="AP101" s="124"/>
      <c r="AQ101" s="124"/>
      <c r="AR101" s="124"/>
      <c r="AS101" s="124"/>
      <c r="AT101" s="124"/>
      <c r="AU101" s="124"/>
      <c r="AV101" s="124"/>
      <c r="AW101" s="124"/>
      <c r="AX101" s="124"/>
      <c r="AY101" s="124"/>
      <c r="AZ101" s="124"/>
      <c r="BA101" s="124"/>
      <c r="BB101" s="124"/>
      <c r="BC101" s="124"/>
      <c r="BD101" s="124"/>
      <c r="BE101" s="124"/>
      <c r="BF101" s="124"/>
      <c r="BG101" s="124"/>
      <c r="BH101" s="124"/>
    </row>
    <row r="102" ht="31" customHeight="1" spans="1:60">
      <c r="A102" s="33"/>
      <c r="B102" s="130"/>
      <c r="C102" s="130"/>
      <c r="D102" s="131"/>
      <c r="E102" s="131"/>
      <c r="F102" s="131"/>
      <c r="G102" s="130"/>
      <c r="H102" s="141"/>
      <c r="I102" s="131"/>
      <c r="J102" s="166"/>
      <c r="K102" s="154"/>
      <c r="L102" s="155" t="str">
        <f>IF(B102&lt;&gt;"",P102,"")</f>
        <v/>
      </c>
      <c r="M102" s="155" t="str">
        <f t="shared" si="0"/>
        <v/>
      </c>
      <c r="N102" s="30"/>
      <c r="O102" s="30"/>
      <c r="P102" s="30">
        <f>IF(I102="独立完成",1,IF(K102=1,0.6,IF(K102=2,0.4,IF(K102=3,0.2,IF(K102=4,0.1,IF(K102&gt;4,0.05,0))))))</f>
        <v>0</v>
      </c>
      <c r="Q102" s="30">
        <f>IF(AND(B102="市级成果奖",C102="一等奖"),12,IF(AND(B102="市级成果奖",C102="二等奖"),10,IF(AND(B102="市级成果奖",OR(C102="三等奖",C102="无等级")),8,0)))</f>
        <v>0</v>
      </c>
      <c r="R102" s="30">
        <f>IF(AND(B102="校级成果奖",C102="一等奖"),6,IF(AND(B102="校级成果奖",C102="二等奖"),4,IF(AND(B102="校级成果奖",OR(C102="三等奖",C102="无等级")),2,0)))</f>
        <v>0</v>
      </c>
      <c r="S102" s="30">
        <f>IF(AND(B102="国家级成果奖",C102="一等奖"),100,IF(AND(B102="国家级成果奖",C102="二等奖"),80,IF(AND(B102="国家级成果奖",OR(C102="三等奖",C102="无等级")),60,0)))</f>
        <v>0</v>
      </c>
      <c r="T102" s="30">
        <f>IF(AND(B102="国家开放大学成果奖",C102="一等奖"),30,IF(AND(B102="国家开放大学成果奖",C102="二等奖"),24,IF(AND(B102="国家开放大学成果奖",OR(C102="三等奖",C102="无等级")),18,0)))</f>
        <v>0</v>
      </c>
      <c r="U102" s="30">
        <f>IF(AND(B102="省级成果奖",C102="一等奖"),30,IF(AND(B102="省级成果奖",C102="二等奖"),24,IF(AND(B102="省级成果奖",OR(C102="三等奖",C102="无等级")),18,0)))</f>
        <v>0</v>
      </c>
      <c r="V102" s="122">
        <f>IF(AND(OR(B102="省级成果奖",B102="国家级成果奖",B102="国家开放大学成果奖",AND(B102="市级成果奖",OR(C102="一等奖",C102="二等奖"))),OR(I102="独立完成",K102=1)),1,0)</f>
        <v>0</v>
      </c>
      <c r="W102" s="123"/>
      <c r="X102" s="122">
        <f>IF(AND(OR(B102="省级成果奖",B102="国家级成果奖",B102="国家开放大学成果奖"),AND(K102&lt;&gt;1,K102&lt;&gt;"",K102&lt;4)),1,0)</f>
        <v>0</v>
      </c>
      <c r="Y102" s="123"/>
      <c r="AP102" s="124"/>
      <c r="AQ102" s="124"/>
      <c r="AR102" s="124"/>
      <c r="AS102" s="124"/>
      <c r="AT102" s="124"/>
      <c r="AU102" s="124"/>
      <c r="AV102" s="124"/>
      <c r="AW102" s="124"/>
      <c r="AX102" s="124"/>
      <c r="AY102" s="124"/>
      <c r="AZ102" s="124"/>
      <c r="BA102" s="124"/>
      <c r="BB102" s="124"/>
      <c r="BC102" s="124"/>
      <c r="BD102" s="124"/>
      <c r="BE102" s="124"/>
      <c r="BF102" s="124"/>
      <c r="BG102" s="124"/>
      <c r="BH102" s="124"/>
    </row>
    <row r="103" ht="31" customHeight="1" spans="1:60">
      <c r="A103" s="33"/>
      <c r="B103" s="133" t="s">
        <v>61</v>
      </c>
      <c r="C103" s="134"/>
      <c r="D103" s="134"/>
      <c r="E103" s="134"/>
      <c r="F103" s="134"/>
      <c r="G103" s="134"/>
      <c r="H103" s="134"/>
      <c r="I103" s="134"/>
      <c r="J103" s="134"/>
      <c r="K103" s="134"/>
      <c r="L103" s="157"/>
      <c r="M103" s="155">
        <f>IF(M101&lt;&gt;"",SUM(M101:M102),0)</f>
        <v>0</v>
      </c>
      <c r="N103" s="158"/>
      <c r="O103" s="158"/>
      <c r="AP103" s="124"/>
      <c r="AQ103" s="124"/>
      <c r="AR103" s="124"/>
      <c r="AS103" s="124"/>
      <c r="AT103" s="124"/>
      <c r="AU103" s="124"/>
      <c r="AV103" s="124"/>
      <c r="AW103" s="124"/>
      <c r="AX103" s="124"/>
      <c r="AY103" s="124"/>
      <c r="AZ103" s="124"/>
      <c r="BA103" s="124"/>
      <c r="BB103" s="124"/>
      <c r="BC103" s="124"/>
      <c r="BD103" s="124"/>
      <c r="BE103" s="124"/>
      <c r="BF103" s="124"/>
      <c r="BG103" s="124"/>
      <c r="BH103" s="124"/>
    </row>
    <row r="104" ht="31" customHeight="1" spans="1:60">
      <c r="A104" s="33"/>
      <c r="B104" s="129" t="s">
        <v>153</v>
      </c>
      <c r="C104" s="129"/>
      <c r="D104" s="129"/>
      <c r="E104" s="129"/>
      <c r="F104" s="129"/>
      <c r="G104" s="129"/>
      <c r="H104" s="129"/>
      <c r="I104" s="129"/>
      <c r="J104" s="129"/>
      <c r="K104" s="129"/>
      <c r="L104" s="129"/>
      <c r="M104" s="129"/>
      <c r="N104" s="129"/>
      <c r="O104" s="129"/>
      <c r="AP104" s="124"/>
      <c r="AQ104" s="124"/>
      <c r="AR104" s="124"/>
      <c r="AS104" s="124"/>
      <c r="AT104" s="124"/>
      <c r="AU104" s="124"/>
      <c r="AV104" s="124"/>
      <c r="AW104" s="124"/>
      <c r="AX104" s="124"/>
      <c r="AY104" s="124"/>
      <c r="AZ104" s="124"/>
      <c r="BA104" s="124"/>
      <c r="BB104" s="124"/>
      <c r="BC104" s="124"/>
      <c r="BD104" s="124"/>
      <c r="BE104" s="124"/>
      <c r="BF104" s="124"/>
      <c r="BG104" s="124"/>
      <c r="BH104" s="124"/>
    </row>
    <row r="105" ht="31" customHeight="1" spans="1:60">
      <c r="A105" s="33"/>
      <c r="B105" s="90" t="s">
        <v>127</v>
      </c>
      <c r="C105" s="91" t="s">
        <v>128</v>
      </c>
      <c r="D105" s="142"/>
      <c r="E105" s="92"/>
      <c r="F105" s="91" t="s">
        <v>154</v>
      </c>
      <c r="G105" s="92"/>
      <c r="H105" s="58" t="s">
        <v>130</v>
      </c>
      <c r="I105" s="58" t="s">
        <v>88</v>
      </c>
      <c r="J105" s="58" t="s">
        <v>89</v>
      </c>
      <c r="K105" s="58" t="s">
        <v>131</v>
      </c>
      <c r="L105" s="58" t="s">
        <v>90</v>
      </c>
      <c r="M105" s="58" t="s">
        <v>91</v>
      </c>
      <c r="N105" s="58" t="s">
        <v>39</v>
      </c>
      <c r="O105" s="58" t="s">
        <v>40</v>
      </c>
      <c r="P105" s="161" t="s">
        <v>132</v>
      </c>
      <c r="Q105" s="30" t="s">
        <v>133</v>
      </c>
      <c r="R105" s="30" t="s">
        <v>92</v>
      </c>
      <c r="S105" s="121" t="s">
        <v>134</v>
      </c>
      <c r="T105" s="121" t="s">
        <v>135</v>
      </c>
      <c r="U105" s="121" t="s">
        <v>136</v>
      </c>
      <c r="V105" s="121" t="s">
        <v>137</v>
      </c>
      <c r="W105" s="121" t="s">
        <v>138</v>
      </c>
      <c r="X105" s="121" t="s">
        <v>139</v>
      </c>
      <c r="AP105" s="124"/>
      <c r="AQ105" s="124"/>
      <c r="AR105" s="124"/>
      <c r="AS105" s="124"/>
      <c r="AT105" s="124"/>
      <c r="AU105" s="124"/>
      <c r="AV105" s="124"/>
      <c r="AW105" s="124"/>
      <c r="AX105" s="124"/>
      <c r="AY105" s="124"/>
      <c r="AZ105" s="124"/>
      <c r="BA105" s="124"/>
      <c r="BB105" s="124"/>
      <c r="BC105" s="124"/>
      <c r="BD105" s="124"/>
      <c r="BE105" s="124"/>
      <c r="BF105" s="124"/>
      <c r="BG105" s="124"/>
      <c r="BH105" s="124"/>
    </row>
    <row r="106" ht="31" customHeight="1" spans="1:60">
      <c r="A106" s="33"/>
      <c r="B106" s="130"/>
      <c r="C106" s="136"/>
      <c r="D106" s="137"/>
      <c r="E106" s="138"/>
      <c r="F106" s="143"/>
      <c r="G106" s="144"/>
      <c r="H106" s="140"/>
      <c r="I106" s="140"/>
      <c r="J106" s="140"/>
      <c r="K106" s="162"/>
      <c r="L106" s="155" t="str">
        <f t="shared" ref="L106:L108" si="1">IF(B106&lt;&gt;"",R106,"")</f>
        <v/>
      </c>
      <c r="M106" s="155" t="str">
        <f t="shared" ref="M106:M108" si="2">IF(B106&lt;&gt;"",SUM(S106:X106)*L106,"")</f>
        <v/>
      </c>
      <c r="N106" s="156"/>
      <c r="O106" s="163"/>
      <c r="P106" s="164" t="str">
        <f t="shared" ref="P106:P108" si="3">IF(B106="国家级课题项目",40,IF(B106="省级课题项目",20,IF(B106="横向课题项目",2,IF(B106="市级课题项目",7,IF(B106="校级课题项目",5,"")))))</f>
        <v/>
      </c>
      <c r="Q106" s="163">
        <f>IF(AND(B106="横向技术项目",K106&gt;=1),INT((K106-1)*10)*0.1,0)</f>
        <v>0</v>
      </c>
      <c r="R106" s="30">
        <f t="shared" ref="R106:R108" si="4">IF(H106="独立完成",1,IF(J106=1,0.8,IF(J106=2,0.2,IF(J106=3,0.1,IF(J106&gt;3,0.05,0)))))</f>
        <v>0</v>
      </c>
      <c r="S106" s="163">
        <f t="shared" ref="S106:S108" si="5">IF(Q106&gt;18,18,Q106)</f>
        <v>0</v>
      </c>
      <c r="T106" s="30">
        <f t="shared" ref="T106:T108" si="6">IF(B106="国家级课题项目",40,0)</f>
        <v>0</v>
      </c>
      <c r="U106" s="30">
        <f t="shared" ref="U106:U108" si="7">IF(B106="省级课题项目",20,0)</f>
        <v>0</v>
      </c>
      <c r="V106" s="30">
        <f t="shared" ref="V106:V108" si="8">IF(B106="市级课题项目",10,0)</f>
        <v>0</v>
      </c>
      <c r="W106" s="30">
        <f t="shared" ref="W106:W108" si="9">IF(B106="校级课题项目",5,0)</f>
        <v>0</v>
      </c>
      <c r="X106" s="30">
        <f>IF(B106="横向技术项目",2,0)</f>
        <v>0</v>
      </c>
      <c r="AP106" s="124"/>
      <c r="AQ106" s="124"/>
      <c r="AR106" s="124"/>
      <c r="AS106" s="124"/>
      <c r="AT106" s="124"/>
      <c r="AU106" s="124"/>
      <c r="AV106" s="124"/>
      <c r="AW106" s="124"/>
      <c r="AX106" s="124"/>
      <c r="AY106" s="124"/>
      <c r="AZ106" s="124"/>
      <c r="BA106" s="124"/>
      <c r="BB106" s="124"/>
      <c r="BC106" s="124"/>
      <c r="BD106" s="124"/>
      <c r="BE106" s="124"/>
      <c r="BF106" s="124"/>
      <c r="BG106" s="124"/>
      <c r="BH106" s="124"/>
    </row>
    <row r="107" ht="31" customHeight="1" spans="1:60">
      <c r="A107" s="33"/>
      <c r="B107" s="130"/>
      <c r="C107" s="136"/>
      <c r="D107" s="137"/>
      <c r="E107" s="138"/>
      <c r="F107" s="143"/>
      <c r="G107" s="144"/>
      <c r="H107" s="140"/>
      <c r="I107" s="140"/>
      <c r="J107" s="140"/>
      <c r="K107" s="162"/>
      <c r="L107" s="155" t="str">
        <f t="shared" si="1"/>
        <v/>
      </c>
      <c r="M107" s="155" t="str">
        <f t="shared" si="2"/>
        <v/>
      </c>
      <c r="N107" s="156"/>
      <c r="O107" s="163"/>
      <c r="P107" s="164" t="str">
        <f t="shared" si="3"/>
        <v/>
      </c>
      <c r="Q107" s="163">
        <f>IF(AND(B107="横向技术项目",K107&gt;=1),INT((K107-1)*10)*0.1,0)</f>
        <v>0</v>
      </c>
      <c r="R107" s="30">
        <f t="shared" si="4"/>
        <v>0</v>
      </c>
      <c r="S107" s="163">
        <f t="shared" si="5"/>
        <v>0</v>
      </c>
      <c r="T107" s="30">
        <f t="shared" si="6"/>
        <v>0</v>
      </c>
      <c r="U107" s="30">
        <f t="shared" si="7"/>
        <v>0</v>
      </c>
      <c r="V107" s="30">
        <f t="shared" si="8"/>
        <v>0</v>
      </c>
      <c r="W107" s="30">
        <f t="shared" si="9"/>
        <v>0</v>
      </c>
      <c r="X107" s="30">
        <f>IF(B107="横向技术项目",2,0)</f>
        <v>0</v>
      </c>
      <c r="AP107" s="124"/>
      <c r="AQ107" s="124"/>
      <c r="AR107" s="124"/>
      <c r="AS107" s="124"/>
      <c r="AT107" s="124"/>
      <c r="AU107" s="124"/>
      <c r="AV107" s="124"/>
      <c r="AW107" s="124"/>
      <c r="AX107" s="124"/>
      <c r="AY107" s="124"/>
      <c r="AZ107" s="124"/>
      <c r="BA107" s="124"/>
      <c r="BB107" s="124"/>
      <c r="BC107" s="124"/>
      <c r="BD107" s="124"/>
      <c r="BE107" s="124"/>
      <c r="BF107" s="124"/>
      <c r="BG107" s="124"/>
      <c r="BH107" s="124"/>
    </row>
    <row r="108" ht="31" customHeight="1" spans="1:60">
      <c r="A108" s="33"/>
      <c r="B108" s="130"/>
      <c r="C108" s="136"/>
      <c r="D108" s="137"/>
      <c r="E108" s="138"/>
      <c r="F108" s="143"/>
      <c r="G108" s="144"/>
      <c r="H108" s="140"/>
      <c r="I108" s="140"/>
      <c r="J108" s="140"/>
      <c r="K108" s="162"/>
      <c r="L108" s="155" t="str">
        <f t="shared" si="1"/>
        <v/>
      </c>
      <c r="M108" s="155" t="str">
        <f t="shared" si="2"/>
        <v/>
      </c>
      <c r="N108" s="156"/>
      <c r="O108" s="163"/>
      <c r="P108" s="164" t="str">
        <f t="shared" si="3"/>
        <v/>
      </c>
      <c r="Q108" s="163">
        <f>IF(AND(B108="横向技术项目",K108&gt;=1),INT((K108-1)*10)*0.1,0)</f>
        <v>0</v>
      </c>
      <c r="R108" s="30">
        <f t="shared" si="4"/>
        <v>0</v>
      </c>
      <c r="S108" s="163">
        <f t="shared" si="5"/>
        <v>0</v>
      </c>
      <c r="T108" s="30">
        <f t="shared" si="6"/>
        <v>0</v>
      </c>
      <c r="U108" s="30">
        <f t="shared" si="7"/>
        <v>0</v>
      </c>
      <c r="V108" s="30">
        <f t="shared" si="8"/>
        <v>0</v>
      </c>
      <c r="W108" s="30">
        <f t="shared" si="9"/>
        <v>0</v>
      </c>
      <c r="X108" s="30">
        <f>IF(B108="横向技术项目",2,0)</f>
        <v>0</v>
      </c>
      <c r="AP108" s="124"/>
      <c r="AQ108" s="124"/>
      <c r="AR108" s="124"/>
      <c r="AS108" s="124"/>
      <c r="AT108" s="124"/>
      <c r="AU108" s="124"/>
      <c r="AV108" s="124"/>
      <c r="AW108" s="124"/>
      <c r="AX108" s="124"/>
      <c r="AY108" s="124"/>
      <c r="AZ108" s="124"/>
      <c r="BA108" s="124"/>
      <c r="BB108" s="124"/>
      <c r="BC108" s="124"/>
      <c r="BD108" s="124"/>
      <c r="BE108" s="124"/>
      <c r="BF108" s="124"/>
      <c r="BG108" s="124"/>
      <c r="BH108" s="124"/>
    </row>
    <row r="109" ht="31" customHeight="1" spans="1:60">
      <c r="A109" s="33"/>
      <c r="B109" s="133" t="s">
        <v>61</v>
      </c>
      <c r="C109" s="134"/>
      <c r="D109" s="134"/>
      <c r="E109" s="134"/>
      <c r="F109" s="134"/>
      <c r="G109" s="134"/>
      <c r="H109" s="134"/>
      <c r="I109" s="134"/>
      <c r="J109" s="134"/>
      <c r="K109" s="134"/>
      <c r="L109" s="157"/>
      <c r="M109" s="155">
        <f>IF(M106&lt;&gt;"",SUM(M106:M108),0)</f>
        <v>0</v>
      </c>
      <c r="N109" s="158"/>
      <c r="O109" s="158"/>
      <c r="AP109" s="124"/>
      <c r="AQ109" s="124"/>
      <c r="AR109" s="124"/>
      <c r="AS109" s="124"/>
      <c r="AT109" s="124"/>
      <c r="AU109" s="124"/>
      <c r="AV109" s="124"/>
      <c r="AW109" s="124"/>
      <c r="AX109" s="124"/>
      <c r="AY109" s="124"/>
      <c r="AZ109" s="124"/>
      <c r="BA109" s="124"/>
      <c r="BB109" s="124"/>
      <c r="BC109" s="124"/>
      <c r="BD109" s="124"/>
      <c r="BE109" s="124"/>
      <c r="BF109" s="124"/>
      <c r="BG109" s="124"/>
      <c r="BH109" s="124"/>
    </row>
    <row r="110" ht="31" customHeight="1" spans="1:60">
      <c r="A110" s="33"/>
      <c r="B110" s="129" t="s">
        <v>155</v>
      </c>
      <c r="C110" s="129"/>
      <c r="D110" s="129"/>
      <c r="E110" s="129"/>
      <c r="F110" s="129"/>
      <c r="G110" s="129"/>
      <c r="H110" s="129"/>
      <c r="I110" s="129"/>
      <c r="J110" s="129"/>
      <c r="K110" s="129"/>
      <c r="L110" s="129"/>
      <c r="M110" s="129"/>
      <c r="N110" s="129"/>
      <c r="O110" s="129"/>
      <c r="AP110" s="124"/>
      <c r="AQ110" s="124"/>
      <c r="AR110" s="124"/>
      <c r="AS110" s="124"/>
      <c r="AT110" s="124"/>
      <c r="AU110" s="124"/>
      <c r="AV110" s="124"/>
      <c r="AW110" s="124"/>
      <c r="AX110" s="124"/>
      <c r="AY110" s="124"/>
      <c r="AZ110" s="124"/>
      <c r="BA110" s="124"/>
      <c r="BB110" s="124"/>
      <c r="BC110" s="124"/>
      <c r="BD110" s="124"/>
      <c r="BE110" s="124"/>
      <c r="BF110" s="124"/>
      <c r="BG110" s="124"/>
      <c r="BH110" s="124"/>
    </row>
    <row r="111" ht="31" customHeight="1" spans="1:60">
      <c r="A111" s="33"/>
      <c r="B111" s="90" t="s">
        <v>156</v>
      </c>
      <c r="C111" s="90" t="s">
        <v>128</v>
      </c>
      <c r="D111" s="145"/>
      <c r="E111" s="145"/>
      <c r="F111" s="146"/>
      <c r="G111" s="126" t="s">
        <v>157</v>
      </c>
      <c r="H111" s="147"/>
      <c r="I111" s="58" t="s">
        <v>87</v>
      </c>
      <c r="J111" s="58" t="s">
        <v>88</v>
      </c>
      <c r="K111" s="58" t="s">
        <v>89</v>
      </c>
      <c r="L111" s="58" t="s">
        <v>90</v>
      </c>
      <c r="M111" s="58" t="s">
        <v>91</v>
      </c>
      <c r="N111" s="58" t="s">
        <v>39</v>
      </c>
      <c r="O111" s="58" t="s">
        <v>40</v>
      </c>
      <c r="P111" s="30" t="s">
        <v>92</v>
      </c>
      <c r="Q111" s="161" t="s">
        <v>158</v>
      </c>
      <c r="R111" s="121" t="s">
        <v>159</v>
      </c>
      <c r="S111" s="114" t="s">
        <v>160</v>
      </c>
      <c r="T111" s="114" t="s">
        <v>161</v>
      </c>
      <c r="U111" s="114" t="s">
        <v>162</v>
      </c>
      <c r="V111" s="114" t="s">
        <v>163</v>
      </c>
      <c r="AP111" s="124"/>
      <c r="AQ111" s="124"/>
      <c r="AR111" s="124"/>
      <c r="AS111" s="124"/>
      <c r="AT111" s="124"/>
      <c r="AU111" s="124"/>
      <c r="AV111" s="124"/>
      <c r="AW111" s="124"/>
      <c r="AX111" s="124"/>
      <c r="AY111" s="124"/>
      <c r="AZ111" s="124"/>
      <c r="BA111" s="124"/>
      <c r="BB111" s="124"/>
      <c r="BC111" s="124"/>
      <c r="BD111" s="124"/>
      <c r="BE111" s="124"/>
      <c r="BF111" s="124"/>
      <c r="BG111" s="124"/>
      <c r="BH111" s="124"/>
    </row>
    <row r="112" ht="31" customHeight="1" spans="1:60">
      <c r="A112" s="33"/>
      <c r="B112" s="130"/>
      <c r="C112" s="131"/>
      <c r="D112" s="131"/>
      <c r="E112" s="131"/>
      <c r="F112" s="131"/>
      <c r="G112" s="131"/>
      <c r="H112" s="131"/>
      <c r="I112" s="131"/>
      <c r="J112" s="166"/>
      <c r="K112" s="154"/>
      <c r="L112" s="155" t="str">
        <f>IF(B112&lt;&gt;"",P112,"")</f>
        <v/>
      </c>
      <c r="M112" s="155" t="str">
        <f>IF(B112&lt;&gt;"",L112*SUM(R112:U112),"")</f>
        <v/>
      </c>
      <c r="N112" s="156"/>
      <c r="O112" s="163"/>
      <c r="P112" s="30">
        <f>IF(I112="独立完成",1,IF(K112=1,0.8,IF(K112=2,0.2,IF(K112&gt;2,0.1,0))))</f>
        <v>0</v>
      </c>
      <c r="Q112" s="161">
        <f>IF(B112="外观设计专利",2,IF(B112="软件著作权登记",3,IF(B112="实用新型专利",6,IF(B112="发明专利",25,0))))</f>
        <v>0</v>
      </c>
      <c r="R112" s="30">
        <f>IF(B112="外观设计专利",2,0)</f>
        <v>0</v>
      </c>
      <c r="S112" s="30">
        <f>IF(B112="软件著作权登记",3,0)</f>
        <v>0</v>
      </c>
      <c r="T112" s="30">
        <f>IF(B112="实用新型专利",6,0)</f>
        <v>0</v>
      </c>
      <c r="U112" s="30">
        <f>IF(B112="发明专利",25,0)</f>
        <v>0</v>
      </c>
      <c r="V112" s="30">
        <f>IF(AND(B112="发明专利",OR(I112="独立完成",K112=1)),1,0)</f>
        <v>0</v>
      </c>
      <c r="AP112" s="124"/>
      <c r="AQ112" s="124"/>
      <c r="AR112" s="124"/>
      <c r="AS112" s="124"/>
      <c r="AT112" s="124"/>
      <c r="AU112" s="124"/>
      <c r="AV112" s="124"/>
      <c r="AW112" s="124"/>
      <c r="AX112" s="124"/>
      <c r="AY112" s="124"/>
      <c r="AZ112" s="124"/>
      <c r="BA112" s="124"/>
      <c r="BB112" s="124"/>
      <c r="BC112" s="124"/>
      <c r="BD112" s="124"/>
      <c r="BE112" s="124"/>
      <c r="BF112" s="124"/>
      <c r="BG112" s="124"/>
      <c r="BH112" s="124"/>
    </row>
    <row r="113" ht="31" customHeight="1" spans="1:60">
      <c r="A113" s="33"/>
      <c r="B113" s="130"/>
      <c r="C113" s="131"/>
      <c r="D113" s="131"/>
      <c r="E113" s="131"/>
      <c r="F113" s="131"/>
      <c r="G113" s="131"/>
      <c r="H113" s="131"/>
      <c r="I113" s="131"/>
      <c r="J113" s="166"/>
      <c r="K113" s="154"/>
      <c r="L113" s="155" t="str">
        <f>IF(B113&lt;&gt;"",P113,"")</f>
        <v/>
      </c>
      <c r="M113" s="155" t="str">
        <f>IF(B113&lt;&gt;"",L113*SUM(R113:U113),"")</f>
        <v/>
      </c>
      <c r="N113" s="156"/>
      <c r="O113" s="163"/>
      <c r="P113" s="30">
        <f>IF(I113="独立完成",1,IF(K113=1,0.8,IF(K113=2,0.2,IF(K113&gt;2,0.1,0))))</f>
        <v>0</v>
      </c>
      <c r="Q113" s="161">
        <f>IF(B113="外观设计专利",2,IF(B113="软件著作权登记",3,IF(B113="实用新型专利",6,IF(B113="发明专利",25,0))))</f>
        <v>0</v>
      </c>
      <c r="R113" s="30">
        <f>IF(B113="外观设计专利",2,0)</f>
        <v>0</v>
      </c>
      <c r="S113" s="30">
        <f>IF(B113="软件著作权登记",3,0)</f>
        <v>0</v>
      </c>
      <c r="T113" s="30">
        <f>IF(B113="实用新型专利",6,0)</f>
        <v>0</v>
      </c>
      <c r="U113" s="30">
        <f>IF(B113="发明专利",25,0)</f>
        <v>0</v>
      </c>
      <c r="V113" s="30">
        <f>IF(AND(B113="发明专利",OR(I113="独立完成",K113=1)),1,0)</f>
        <v>0</v>
      </c>
      <c r="AP113" s="124"/>
      <c r="AQ113" s="124"/>
      <c r="AR113" s="124"/>
      <c r="AS113" s="124"/>
      <c r="AT113" s="124"/>
      <c r="AU113" s="124"/>
      <c r="AV113" s="124"/>
      <c r="AW113" s="124"/>
      <c r="AX113" s="124"/>
      <c r="AY113" s="124"/>
      <c r="AZ113" s="124"/>
      <c r="BA113" s="124"/>
      <c r="BB113" s="124"/>
      <c r="BC113" s="124"/>
      <c r="BD113" s="124"/>
      <c r="BE113" s="124"/>
      <c r="BF113" s="124"/>
      <c r="BG113" s="124"/>
      <c r="BH113" s="124"/>
    </row>
    <row r="114" ht="31" customHeight="1" spans="1:60">
      <c r="A114" s="33"/>
      <c r="B114" s="130"/>
      <c r="C114" s="131"/>
      <c r="D114" s="131"/>
      <c r="E114" s="131"/>
      <c r="F114" s="131"/>
      <c r="G114" s="131"/>
      <c r="H114" s="131"/>
      <c r="I114" s="131"/>
      <c r="J114" s="166"/>
      <c r="K114" s="154"/>
      <c r="L114" s="155" t="str">
        <f>IF(B114&lt;&gt;"",P114,"")</f>
        <v/>
      </c>
      <c r="M114" s="155" t="str">
        <f>IF(B114&lt;&gt;"",L114*SUM(R114:U114),"")</f>
        <v/>
      </c>
      <c r="N114" s="156"/>
      <c r="O114" s="163"/>
      <c r="P114" s="30">
        <f>IF(I114="独立完成",1,IF(K114=1,0.8,IF(K114=2,0.2,IF(K114&gt;2,0.1,0))))</f>
        <v>0</v>
      </c>
      <c r="Q114" s="161">
        <f>IF(B114="外观设计专利",2,IF(B114="软件著作权登记",3,IF(B114="实用新型专利",6,IF(B114="发明专利",25,0))))</f>
        <v>0</v>
      </c>
      <c r="R114" s="30">
        <f>IF(B114="外观设计专利",2,0)</f>
        <v>0</v>
      </c>
      <c r="S114" s="30">
        <f>IF(B114="软件著作权登记",3,0)</f>
        <v>0</v>
      </c>
      <c r="T114" s="30">
        <f>IF(B114="实用新型专利",6,0)</f>
        <v>0</v>
      </c>
      <c r="U114" s="30">
        <f>IF(B114="发明专利",25,0)</f>
        <v>0</v>
      </c>
      <c r="V114" s="30">
        <f>IF(AND(B114="发明专利",OR(I114="独立完成",K114=1)),1,0)</f>
        <v>0</v>
      </c>
      <c r="AP114" s="124"/>
      <c r="AQ114" s="124"/>
      <c r="AR114" s="124"/>
      <c r="AS114" s="124"/>
      <c r="AT114" s="124"/>
      <c r="AU114" s="124"/>
      <c r="AV114" s="124"/>
      <c r="AW114" s="124"/>
      <c r="AX114" s="124"/>
      <c r="AY114" s="124"/>
      <c r="AZ114" s="124"/>
      <c r="BA114" s="124"/>
      <c r="BB114" s="124"/>
      <c r="BC114" s="124"/>
      <c r="BD114" s="124"/>
      <c r="BE114" s="124"/>
      <c r="BF114" s="124"/>
      <c r="BG114" s="124"/>
      <c r="BH114" s="124"/>
    </row>
    <row r="115" ht="31" customHeight="1" spans="1:60">
      <c r="A115" s="33"/>
      <c r="B115" s="133" t="s">
        <v>61</v>
      </c>
      <c r="C115" s="134"/>
      <c r="D115" s="134"/>
      <c r="E115" s="134"/>
      <c r="F115" s="134"/>
      <c r="G115" s="134"/>
      <c r="H115" s="134"/>
      <c r="I115" s="134"/>
      <c r="J115" s="134"/>
      <c r="K115" s="134"/>
      <c r="L115" s="157"/>
      <c r="M115" s="155">
        <f>IF(M112&lt;&gt;"",SUM(M112:M114),0)</f>
        <v>0</v>
      </c>
      <c r="N115" s="158"/>
      <c r="O115" s="158"/>
      <c r="AP115" s="124"/>
      <c r="AQ115" s="124"/>
      <c r="AR115" s="124"/>
      <c r="AS115" s="124"/>
      <c r="AT115" s="124"/>
      <c r="AU115" s="124"/>
      <c r="AV115" s="124"/>
      <c r="AW115" s="124"/>
      <c r="AX115" s="124"/>
      <c r="AY115" s="124"/>
      <c r="AZ115" s="124"/>
      <c r="BA115" s="124"/>
      <c r="BB115" s="124"/>
      <c r="BC115" s="124"/>
      <c r="BD115" s="124"/>
      <c r="BE115" s="124"/>
      <c r="BF115" s="124"/>
      <c r="BG115" s="124"/>
      <c r="BH115" s="124"/>
    </row>
    <row r="116" ht="31" customHeight="1" spans="1:60">
      <c r="A116" s="33"/>
      <c r="B116" s="129" t="s">
        <v>164</v>
      </c>
      <c r="C116" s="129"/>
      <c r="D116" s="129"/>
      <c r="E116" s="129"/>
      <c r="F116" s="129"/>
      <c r="G116" s="129"/>
      <c r="H116" s="129"/>
      <c r="I116" s="129"/>
      <c r="J116" s="129"/>
      <c r="K116" s="129"/>
      <c r="L116" s="129"/>
      <c r="M116" s="129"/>
      <c r="N116" s="129"/>
      <c r="O116" s="129"/>
      <c r="AP116" s="124"/>
      <c r="AQ116" s="124"/>
      <c r="AR116" s="124"/>
      <c r="AS116" s="124"/>
      <c r="AT116" s="124"/>
      <c r="AU116" s="124"/>
      <c r="AV116" s="124"/>
      <c r="AW116" s="124"/>
      <c r="AX116" s="124"/>
      <c r="AY116" s="124"/>
      <c r="AZ116" s="124"/>
      <c r="BA116" s="124"/>
      <c r="BB116" s="124"/>
      <c r="BC116" s="124"/>
      <c r="BD116" s="124"/>
      <c r="BE116" s="124"/>
      <c r="BF116" s="124"/>
      <c r="BG116" s="124"/>
      <c r="BH116" s="124"/>
    </row>
    <row r="117" ht="31" customHeight="1" spans="1:60">
      <c r="A117" s="33"/>
      <c r="B117" s="58" t="s">
        <v>165</v>
      </c>
      <c r="C117" s="58" t="s">
        <v>144</v>
      </c>
      <c r="D117" s="58" t="s">
        <v>128</v>
      </c>
      <c r="E117" s="58"/>
      <c r="F117" s="58"/>
      <c r="G117" s="58" t="s">
        <v>145</v>
      </c>
      <c r="H117" s="58"/>
      <c r="I117" s="58" t="s">
        <v>87</v>
      </c>
      <c r="J117" s="58" t="s">
        <v>88</v>
      </c>
      <c r="K117" s="58" t="s">
        <v>89</v>
      </c>
      <c r="L117" s="158" t="s">
        <v>90</v>
      </c>
      <c r="M117" s="58" t="s">
        <v>91</v>
      </c>
      <c r="N117" s="58" t="s">
        <v>39</v>
      </c>
      <c r="O117" s="58" t="s">
        <v>40</v>
      </c>
      <c r="P117" s="121" t="s">
        <v>92</v>
      </c>
      <c r="Q117" s="121" t="s">
        <v>146</v>
      </c>
      <c r="R117" s="121" t="s">
        <v>147</v>
      </c>
      <c r="S117" s="121" t="s">
        <v>148</v>
      </c>
      <c r="T117" s="121" t="s">
        <v>149</v>
      </c>
      <c r="U117" s="121" t="s">
        <v>150</v>
      </c>
      <c r="V117" s="121" t="s">
        <v>166</v>
      </c>
      <c r="AP117" s="124"/>
      <c r="AQ117" s="124"/>
      <c r="AR117" s="124"/>
      <c r="AS117" s="124"/>
      <c r="AT117" s="124"/>
      <c r="AU117" s="124"/>
      <c r="AV117" s="124"/>
      <c r="AW117" s="124"/>
      <c r="AX117" s="124"/>
      <c r="AY117" s="124"/>
      <c r="AZ117" s="124"/>
      <c r="BA117" s="124"/>
      <c r="BB117" s="124"/>
      <c r="BC117" s="124"/>
      <c r="BD117" s="124"/>
      <c r="BE117" s="124"/>
      <c r="BF117" s="124"/>
      <c r="BG117" s="124"/>
      <c r="BH117" s="124"/>
    </row>
    <row r="118" ht="31" customHeight="1" spans="1:60">
      <c r="A118" s="33"/>
      <c r="B118" s="130"/>
      <c r="C118" s="130"/>
      <c r="D118" s="131"/>
      <c r="E118" s="131"/>
      <c r="F118" s="131"/>
      <c r="G118" s="130"/>
      <c r="H118" s="130"/>
      <c r="I118" s="131"/>
      <c r="J118" s="166"/>
      <c r="K118" s="154"/>
      <c r="L118" s="155" t="str">
        <f>IF(B118&lt;&gt;"",P118,"")</f>
        <v/>
      </c>
      <c r="M118" s="155" t="str">
        <f>IF(B118&lt;&gt;"",SUM(Q118:U118)*L118,"")</f>
        <v/>
      </c>
      <c r="N118" s="30"/>
      <c r="O118" s="30"/>
      <c r="P118" s="30">
        <f>IF(I118="独立完成",1,IF(K118=1,0.6,IF(K118=2,0.4,IF(K118=3,0.2,IF(K118=4,0.1,IF(K118&gt;4,0.05,0))))))</f>
        <v>0</v>
      </c>
      <c r="Q118" s="30">
        <f>IF(AND(B118="市级成果奖",C118="一等奖"),12,IF(AND(B118="市级成果奖",C118="二等奖"),10,IF(AND(B118="市级成果奖",OR(C118="三等奖",C118="无等级")),8,0)))</f>
        <v>0</v>
      </c>
      <c r="R118" s="30">
        <f>IF(AND(B118="校级成果奖",C118="一等奖"),6,IF(AND(B118="校级成果奖",C118="二等奖"),4,IF(AND(B118="校级成果奖",OR(C118="三等奖",C118="无等级")),2,0)))</f>
        <v>0</v>
      </c>
      <c r="S118" s="30">
        <f>IF(AND(OR(B118="国家自然科学奖",B118="国家科技进步奖",B118="国家技术发明奖",B118="国家社会科学奖"),C118="一等奖"),100,IF(AND(OR(B118="国家自然科学奖",B118="国家科技进步奖",B118="国家技术发明奖",B118="国家社会科学奖"),C118="二等奖"),80,IF(AND(OR(B118="国家自然科学奖",B118="国家科技进步奖",B118="国家技术发明奖",B118="国家社会科学奖"),OR(C118="三等奖",C118="无等级")),60,0)))</f>
        <v>0</v>
      </c>
      <c r="T118" s="30">
        <f>IF(AND(B118="国家开放大学成果奖",C118="一等奖"),30,IF(AND(B118="国家开放大学成果奖",C118="二等奖"),24,IF(AND(B118="国家开放大学成果奖",OR(C118="三等奖",C118="无等级")),18,0)))</f>
        <v>0</v>
      </c>
      <c r="U118" s="30">
        <f>IF(AND(B118="省科技进步奖",C118="一等奖"),30,IF(AND(B118="省科技进步奖",C118="二等奖"),24,IF(AND(B118="省科技进步奖",OR(C118="三等奖",C118="无等级")),18,0)))</f>
        <v>0</v>
      </c>
      <c r="V118" s="30">
        <f>IF(AND(OR(B118="国家社会科学奖",B118="国家自然科学奖",B118="国家科技进步奖",B118="国家技术发明奖",B118="省科技进步奖"),OR(I118="独立完成",K118&lt;&gt;"")),1,0)</f>
        <v>0</v>
      </c>
      <c r="AP118" s="124"/>
      <c r="AQ118" s="124"/>
      <c r="AR118" s="124"/>
      <c r="AS118" s="124"/>
      <c r="AT118" s="124"/>
      <c r="AU118" s="124"/>
      <c r="AV118" s="124"/>
      <c r="AW118" s="124"/>
      <c r="AX118" s="124"/>
      <c r="AY118" s="124"/>
      <c r="AZ118" s="124"/>
      <c r="BA118" s="124"/>
      <c r="BB118" s="124"/>
      <c r="BC118" s="124"/>
      <c r="BD118" s="124"/>
      <c r="BE118" s="124"/>
      <c r="BF118" s="124"/>
      <c r="BG118" s="124"/>
      <c r="BH118" s="124"/>
    </row>
    <row r="119" ht="31" customHeight="1" spans="1:60">
      <c r="A119" s="33"/>
      <c r="B119" s="130"/>
      <c r="C119" s="130"/>
      <c r="D119" s="131"/>
      <c r="E119" s="131"/>
      <c r="F119" s="131"/>
      <c r="G119" s="130"/>
      <c r="H119" s="141"/>
      <c r="I119" s="131"/>
      <c r="J119" s="166"/>
      <c r="K119" s="154"/>
      <c r="L119" s="155" t="str">
        <f>IF(B119&lt;&gt;"",P119,"")</f>
        <v/>
      </c>
      <c r="M119" s="155" t="str">
        <f>IF(B119&lt;&gt;"",SUM(Q119:U119)*L119,"")</f>
        <v/>
      </c>
      <c r="N119" s="30"/>
      <c r="O119" s="30"/>
      <c r="P119" s="30">
        <f>IF(I119="独立完成",1,IF(K119=1,0.6,IF(K119=2,0.4,IF(K119=3,0.2,IF(K119=4,0.1,IF(K119&gt;4,0.05,0))))))</f>
        <v>0</v>
      </c>
      <c r="Q119" s="30">
        <f>IF(AND(B119="市级成果奖",C119="一等奖"),12,IF(AND(B119="市级成果奖",C119="二等奖"),10,IF(AND(B119="市级成果奖",OR(C119="三等奖",C119="无等级")),8,0)))</f>
        <v>0</v>
      </c>
      <c r="R119" s="30">
        <f>IF(AND(B119="校级成果奖",C119="一等奖"),6,IF(AND(B119="校级成果奖",C119="二等奖"),4,IF(AND(B119="校级成果奖",OR(C119="三等奖",C119="无等级")),2,0)))</f>
        <v>0</v>
      </c>
      <c r="S119" s="30">
        <f>IF(AND(OR(B119="国家自然科学奖",B119="国家科技进步奖",B119="国家技术发明奖",B119="国家社会科学奖"),C119="一等奖"),100,IF(AND(OR(B119="国家自然科学奖",B119="国家科技进步奖",B119="国家技术发明奖",B119="国家社会科学奖"),C119="二等奖"),80,IF(AND(OR(B119="国家自然科学奖",B119="国家科技进步奖",B119="国家技术发明奖",B119="国家社会科学奖"),OR(C119="三等奖",C119="无等级")),60,0)))</f>
        <v>0</v>
      </c>
      <c r="T119" s="30">
        <f>IF(AND(B119="国家开放大学成果奖",C119="一等奖"),30,IF(AND(B119="国家开放大学成果奖",C119="二等奖"),24,IF(AND(B119="国家开放大学成果奖",OR(C119="三等奖",C119="无等级")),18,0)))</f>
        <v>0</v>
      </c>
      <c r="U119" s="30">
        <f>IF(AND(B119="省科技进步奖",C119="一等奖"),30,IF(AND(B119="省科技进步奖",C119="二等奖"),24,IF(AND(B119="省科技进步奖",OR(C119="三等奖",C119="无等级")),18,0)))</f>
        <v>0</v>
      </c>
      <c r="V119" s="30">
        <f>IF(AND(OR(B119="国家社会科学奖",B119="国家自然科学奖",B119="国家科技进步奖",B119="国家技术发明奖",B119="省科技进步奖"),OR(I119="独立完成",K119&lt;&gt;"")),1,0)</f>
        <v>0</v>
      </c>
      <c r="AP119" s="124"/>
      <c r="AQ119" s="124"/>
      <c r="AR119" s="124"/>
      <c r="AS119" s="124"/>
      <c r="AT119" s="124"/>
      <c r="AU119" s="124"/>
      <c r="AV119" s="124"/>
      <c r="AW119" s="124"/>
      <c r="AX119" s="124"/>
      <c r="AY119" s="124"/>
      <c r="AZ119" s="124"/>
      <c r="BA119" s="124"/>
      <c r="BB119" s="124"/>
      <c r="BC119" s="124"/>
      <c r="BD119" s="124"/>
      <c r="BE119" s="124"/>
      <c r="BF119" s="124"/>
      <c r="BG119" s="124"/>
      <c r="BH119" s="124"/>
    </row>
    <row r="120" ht="31" customHeight="1" spans="1:60">
      <c r="A120" s="33"/>
      <c r="B120" s="133" t="s">
        <v>61</v>
      </c>
      <c r="C120" s="134"/>
      <c r="D120" s="134"/>
      <c r="E120" s="134"/>
      <c r="F120" s="134"/>
      <c r="G120" s="134"/>
      <c r="H120" s="134"/>
      <c r="I120" s="134"/>
      <c r="J120" s="134"/>
      <c r="K120" s="134"/>
      <c r="L120" s="157"/>
      <c r="M120" s="155">
        <f>IF(M118&lt;&gt;"",SUM(M118:M119),0)</f>
        <v>0</v>
      </c>
      <c r="N120" s="158"/>
      <c r="O120" s="158"/>
      <c r="AP120" s="124"/>
      <c r="AQ120" s="124"/>
      <c r="AR120" s="124"/>
      <c r="AS120" s="124"/>
      <c r="AT120" s="124"/>
      <c r="AU120" s="124"/>
      <c r="AV120" s="124"/>
      <c r="AW120" s="124"/>
      <c r="AX120" s="124"/>
      <c r="AY120" s="124"/>
      <c r="AZ120" s="124"/>
      <c r="BA120" s="124"/>
      <c r="BB120" s="124"/>
      <c r="BC120" s="124"/>
      <c r="BD120" s="124"/>
      <c r="BE120" s="124"/>
      <c r="BF120" s="124"/>
      <c r="BG120" s="124"/>
      <c r="BH120" s="124"/>
    </row>
    <row r="121" ht="31" customHeight="1" spans="1:60">
      <c r="A121" s="33"/>
      <c r="B121" s="129" t="s">
        <v>167</v>
      </c>
      <c r="C121" s="129"/>
      <c r="D121" s="129"/>
      <c r="E121" s="129"/>
      <c r="F121" s="129"/>
      <c r="G121" s="129"/>
      <c r="H121" s="129"/>
      <c r="I121" s="129"/>
      <c r="J121" s="129"/>
      <c r="K121" s="129"/>
      <c r="L121" s="129"/>
      <c r="M121" s="129"/>
      <c r="N121" s="129"/>
      <c r="O121" s="129"/>
      <c r="AP121" s="124"/>
      <c r="AQ121" s="124"/>
      <c r="AR121" s="124"/>
      <c r="AS121" s="124"/>
      <c r="AT121" s="124"/>
      <c r="AU121" s="124"/>
      <c r="AV121" s="124"/>
      <c r="AW121" s="124"/>
      <c r="AX121" s="124"/>
      <c r="AY121" s="124"/>
      <c r="AZ121" s="124"/>
      <c r="BA121" s="124"/>
      <c r="BB121" s="124"/>
      <c r="BC121" s="124"/>
      <c r="BD121" s="124"/>
      <c r="BE121" s="124"/>
      <c r="BF121" s="124"/>
      <c r="BG121" s="124"/>
      <c r="BH121" s="124"/>
    </row>
    <row r="122" ht="31" customHeight="1" spans="1:60">
      <c r="A122" s="33"/>
      <c r="B122" s="58" t="s">
        <v>65</v>
      </c>
      <c r="C122" s="58" t="s">
        <v>168</v>
      </c>
      <c r="D122" s="58"/>
      <c r="E122" s="58" t="s">
        <v>169</v>
      </c>
      <c r="F122" s="58" t="s">
        <v>128</v>
      </c>
      <c r="G122" s="58"/>
      <c r="H122" s="135" t="s">
        <v>170</v>
      </c>
      <c r="I122" s="135" t="s">
        <v>130</v>
      </c>
      <c r="J122" s="58" t="s">
        <v>88</v>
      </c>
      <c r="K122" s="58" t="s">
        <v>89</v>
      </c>
      <c r="L122" s="58" t="s">
        <v>90</v>
      </c>
      <c r="M122" s="58" t="s">
        <v>91</v>
      </c>
      <c r="N122" s="58" t="s">
        <v>39</v>
      </c>
      <c r="O122" s="58" t="s">
        <v>40</v>
      </c>
      <c r="P122" s="121" t="s">
        <v>171</v>
      </c>
      <c r="Q122" s="121" t="s">
        <v>172</v>
      </c>
      <c r="R122" s="171" t="s">
        <v>173</v>
      </c>
      <c r="S122" s="172"/>
      <c r="T122" s="121"/>
      <c r="U122" s="121"/>
      <c r="V122" s="121"/>
      <c r="W122" s="121"/>
      <c r="X122" s="121"/>
      <c r="Y122" s="121"/>
      <c r="Z122" s="121"/>
      <c r="AA122" s="121"/>
      <c r="AB122" s="121" t="s">
        <v>174</v>
      </c>
      <c r="AC122" s="121" t="s">
        <v>175</v>
      </c>
      <c r="AP122" s="124"/>
      <c r="AQ122" s="124"/>
      <c r="AR122" s="124"/>
      <c r="AS122" s="124"/>
      <c r="AT122" s="124"/>
      <c r="AU122" s="124"/>
      <c r="AV122" s="124"/>
      <c r="AW122" s="124"/>
      <c r="AX122" s="124"/>
      <c r="AY122" s="124"/>
      <c r="AZ122" s="124"/>
      <c r="BA122" s="124"/>
      <c r="BB122" s="124"/>
      <c r="BC122" s="124"/>
      <c r="BD122" s="124"/>
      <c r="BE122" s="124"/>
      <c r="BF122" s="124"/>
      <c r="BG122" s="124"/>
      <c r="BH122" s="124"/>
    </row>
    <row r="123" ht="31" customHeight="1" spans="1:60">
      <c r="A123" s="33"/>
      <c r="B123" s="130"/>
      <c r="C123" s="130"/>
      <c r="D123" s="130"/>
      <c r="E123" s="130"/>
      <c r="F123" s="131"/>
      <c r="G123" s="131"/>
      <c r="H123" s="131"/>
      <c r="I123" s="131"/>
      <c r="J123" s="154"/>
      <c r="K123" s="154"/>
      <c r="L123" s="167" t="str">
        <f>IF(B123&lt;&gt;"",AB123+AC123,"")</f>
        <v/>
      </c>
      <c r="M123" s="167" t="str">
        <f>IF(B123&lt;&gt;"",P123*L123,"")</f>
        <v/>
      </c>
      <c r="N123" s="156"/>
      <c r="O123" s="156"/>
      <c r="P123" s="30">
        <f>IF(AND(OR(C123="教学团队",C123="科研创新团队（平台）"),E123="国家级"),40,IF(AND(OR(C123="教学团队",C123="科研创新团队（平台）"),E123="省级"),20,IF(AND(OR(C123="教学团队",C123="科研创新团队（平台）"),E123="市级"),10,IF(AND(OR(C123="教学团队",C123="科研创新团队（平台）"),E123="校级"),5,0))))</f>
        <v>0</v>
      </c>
      <c r="Q123" s="30">
        <f>IF(OR(I123="独立完成",K123=1),1,0)</f>
        <v>0</v>
      </c>
      <c r="R123" s="122">
        <f>IF(AND(E123&lt;&gt;"",OR(I123="独立完成",AND(K123&lt;&gt;"",K123&lt;4))),1,0)</f>
        <v>0</v>
      </c>
      <c r="S123" s="123"/>
      <c r="T123" s="30"/>
      <c r="U123" s="30"/>
      <c r="V123" s="30"/>
      <c r="W123" s="30"/>
      <c r="X123" s="163"/>
      <c r="Y123" s="163"/>
      <c r="Z123" s="163"/>
      <c r="AA123" s="156"/>
      <c r="AB123" s="156">
        <f>IF(B123="团队建设",IF(I123="独立完成",1,IF(K123=1,0.6,IF(AND(J123=2,K123=2),0.4,IF(AND(J123&gt;2,K123=2),0.3,IF(AND(J123&gt;2,K123=3),0.2,IF(AND(J123&gt;2,K123&gt;3),0.1)))))),0)</f>
        <v>0</v>
      </c>
      <c r="AC123" s="156">
        <f>IF(NOT(B123="团队建设"),IF(I123="独立完成",1,IF(K123=1,0.5,IF(AND(J123=2,K123=2),0.5,IF(AND(J123&gt;2,K123=2),0.3,IF(AND(J123&gt;2,K123=3),0.2,IF(AND(J123&gt;2,K123&gt;3),0.1,0)))))),0)</f>
        <v>0</v>
      </c>
      <c r="AD123" s="156"/>
      <c r="AE123" s="156"/>
      <c r="AP123" s="124"/>
      <c r="AQ123" s="124"/>
      <c r="AR123" s="124"/>
      <c r="AS123" s="124"/>
      <c r="AT123" s="124"/>
      <c r="AU123" s="124"/>
      <c r="AV123" s="124"/>
      <c r="AW123" s="124"/>
      <c r="AX123" s="124"/>
      <c r="AY123" s="124"/>
      <c r="AZ123" s="124"/>
      <c r="BA123" s="124"/>
      <c r="BB123" s="124"/>
      <c r="BC123" s="124"/>
      <c r="BD123" s="124"/>
      <c r="BE123" s="124"/>
      <c r="BF123" s="124"/>
      <c r="BG123" s="124"/>
      <c r="BH123" s="124"/>
    </row>
    <row r="124" ht="31" customHeight="1" spans="1:60">
      <c r="A124" s="33"/>
      <c r="B124" s="130"/>
      <c r="C124" s="130"/>
      <c r="D124" s="130"/>
      <c r="E124" s="130"/>
      <c r="F124" s="131"/>
      <c r="G124" s="131"/>
      <c r="H124" s="131"/>
      <c r="I124" s="131"/>
      <c r="J124" s="154"/>
      <c r="K124" s="154"/>
      <c r="L124" s="167" t="str">
        <f>IF(B124&lt;&gt;"",AB124+AC124,"")</f>
        <v/>
      </c>
      <c r="M124" s="167" t="str">
        <f>IF(B124&lt;&gt;"",P124*L124,"")</f>
        <v/>
      </c>
      <c r="N124" s="156"/>
      <c r="O124" s="156"/>
      <c r="P124" s="30">
        <f>IF(AND(OR(C124="教学团队",C124="科研创新团队（平台）"),E124="国家级"),40,IF(AND(OR(C124="教学团队",C124="科研创新团队（平台）"),E124="省级"),20,IF(AND(OR(C124="教学团队",C124="科研创新团队（平台）"),E124="市级"),10,IF(AND(OR(C124="教学团队",C124="科研创新团队（平台）"),E124="校级"),5,0))))</f>
        <v>0</v>
      </c>
      <c r="Q124" s="30">
        <f>IF(OR(I124="独立完成",K124=1),1,0)</f>
        <v>0</v>
      </c>
      <c r="R124" s="122">
        <f>IF(AND(E124&lt;&gt;"",OR(I124="独立完成",AND(K124&lt;&gt;"",K124&lt;4))),1,0)</f>
        <v>0</v>
      </c>
      <c r="S124" s="123"/>
      <c r="T124" s="30"/>
      <c r="U124" s="30"/>
      <c r="V124" s="30"/>
      <c r="W124" s="30"/>
      <c r="X124" s="163"/>
      <c r="Y124" s="163"/>
      <c r="Z124" s="163"/>
      <c r="AA124" s="156"/>
      <c r="AB124" s="156">
        <f>IF(B124="团队建设",IF(I124="独立完成",1,IF(K124=1,0.6,IF(AND(J124=2,K124=2),0.4,IF(AND(J124&gt;2,K124=2),0.3,IF(AND(J124&gt;2,K124=3),0.2,IF(AND(J124&gt;2,K124&gt;3),0.1)))))),0)</f>
        <v>0</v>
      </c>
      <c r="AC124" s="156">
        <f>IF(NOT(B124="团队建设"),IF(I124="独立完成",1,IF(K124=1,0.5,IF(AND(J124=2,K124=2),0.5,IF(AND(J124&gt;2,K124=2),0.3,IF(AND(J124&gt;2,K124=3),0.2,IF(AND(J124&gt;2,K124&gt;3),0.1,0)))))),0)</f>
        <v>0</v>
      </c>
      <c r="AD124" s="156"/>
      <c r="AE124" s="156"/>
      <c r="AP124" s="124"/>
      <c r="AQ124" s="124"/>
      <c r="AR124" s="124"/>
      <c r="AS124" s="124"/>
      <c r="AT124" s="124"/>
      <c r="AU124" s="124"/>
      <c r="AV124" s="124"/>
      <c r="AW124" s="124"/>
      <c r="AX124" s="124"/>
      <c r="AY124" s="124"/>
      <c r="AZ124" s="124"/>
      <c r="BA124" s="124"/>
      <c r="BB124" s="124"/>
      <c r="BC124" s="124"/>
      <c r="BD124" s="124"/>
      <c r="BE124" s="124"/>
      <c r="BF124" s="124"/>
      <c r="BG124" s="124"/>
      <c r="BH124" s="124"/>
    </row>
    <row r="125" ht="31" customHeight="1" spans="1:60">
      <c r="A125" s="33"/>
      <c r="B125" s="133"/>
      <c r="C125" s="134"/>
      <c r="D125" s="134"/>
      <c r="E125" s="134"/>
      <c r="F125" s="134"/>
      <c r="G125" s="134"/>
      <c r="H125" s="134"/>
      <c r="I125" s="134"/>
      <c r="J125" s="134"/>
      <c r="K125" s="134"/>
      <c r="L125" s="157"/>
      <c r="M125" s="167">
        <f>IF(M123&lt;&gt;"",SUM(M123:M124),0)</f>
        <v>0</v>
      </c>
      <c r="N125" s="168"/>
      <c r="O125" s="168"/>
      <c r="Q125" s="30"/>
      <c r="AB125" s="156"/>
      <c r="AP125" s="124"/>
      <c r="AQ125" s="124"/>
      <c r="AR125" s="124"/>
      <c r="AS125" s="124"/>
      <c r="AT125" s="124"/>
      <c r="AU125" s="124"/>
      <c r="AV125" s="124"/>
      <c r="AW125" s="124"/>
      <c r="AX125" s="124"/>
      <c r="AY125" s="124"/>
      <c r="AZ125" s="124"/>
      <c r="BA125" s="124"/>
      <c r="BB125" s="124"/>
      <c r="BC125" s="124"/>
      <c r="BD125" s="124"/>
      <c r="BE125" s="124"/>
      <c r="BF125" s="124"/>
      <c r="BG125" s="124"/>
      <c r="BH125" s="124"/>
    </row>
    <row r="126" ht="31" customHeight="1" spans="1:60">
      <c r="A126" s="33"/>
      <c r="B126" s="129" t="s">
        <v>176</v>
      </c>
      <c r="C126" s="129"/>
      <c r="D126" s="129"/>
      <c r="E126" s="129"/>
      <c r="F126" s="129"/>
      <c r="G126" s="129"/>
      <c r="H126" s="129"/>
      <c r="I126" s="129"/>
      <c r="J126" s="129"/>
      <c r="K126" s="129"/>
      <c r="L126" s="129"/>
      <c r="M126" s="129"/>
      <c r="N126" s="129"/>
      <c r="O126" s="129"/>
      <c r="AP126" s="124"/>
      <c r="AQ126" s="124"/>
      <c r="AR126" s="124"/>
      <c r="AS126" s="124"/>
      <c r="AT126" s="124"/>
      <c r="AU126" s="124"/>
      <c r="AV126" s="124"/>
      <c r="AW126" s="124"/>
      <c r="AX126" s="124"/>
      <c r="AY126" s="124"/>
      <c r="AZ126" s="124"/>
      <c r="BA126" s="124"/>
      <c r="BB126" s="124"/>
      <c r="BC126" s="124"/>
      <c r="BD126" s="124"/>
      <c r="BE126" s="124"/>
      <c r="BF126" s="124"/>
      <c r="BG126" s="124"/>
      <c r="BH126" s="124"/>
    </row>
    <row r="127" ht="31" customHeight="1" spans="1:60">
      <c r="A127" s="33"/>
      <c r="B127" s="58" t="s">
        <v>65</v>
      </c>
      <c r="C127" s="148" t="s">
        <v>177</v>
      </c>
      <c r="D127" s="75" t="s">
        <v>178</v>
      </c>
      <c r="E127" s="77"/>
      <c r="F127" s="58" t="s">
        <v>179</v>
      </c>
      <c r="G127" s="58"/>
      <c r="H127" s="63" t="s">
        <v>180</v>
      </c>
      <c r="I127" s="67"/>
      <c r="J127" s="63" t="s">
        <v>181</v>
      </c>
      <c r="K127" s="67"/>
      <c r="L127" s="58" t="s">
        <v>90</v>
      </c>
      <c r="M127" s="58" t="s">
        <v>91</v>
      </c>
      <c r="N127" s="58" t="s">
        <v>39</v>
      </c>
      <c r="O127" s="58" t="s">
        <v>40</v>
      </c>
      <c r="P127" s="121" t="s">
        <v>158</v>
      </c>
      <c r="Q127" s="121"/>
      <c r="R127" s="171" t="s">
        <v>182</v>
      </c>
      <c r="S127" s="172"/>
      <c r="T127" s="173"/>
      <c r="U127" s="173"/>
      <c r="V127" s="173"/>
      <c r="W127" s="121"/>
      <c r="X127" s="121"/>
      <c r="Y127" s="121"/>
      <c r="Z127" s="121"/>
      <c r="AA127" s="121"/>
      <c r="AB127" s="121"/>
      <c r="AC127" s="121"/>
      <c r="AP127" s="124"/>
      <c r="AQ127" s="124"/>
      <c r="AR127" s="124"/>
      <c r="AS127" s="124"/>
      <c r="AT127" s="124"/>
      <c r="AU127" s="124"/>
      <c r="AV127" s="124"/>
      <c r="AW127" s="124"/>
      <c r="AX127" s="124"/>
      <c r="AY127" s="124"/>
      <c r="AZ127" s="124"/>
      <c r="BA127" s="124"/>
      <c r="BB127" s="124"/>
      <c r="BC127" s="124"/>
      <c r="BD127" s="124"/>
      <c r="BE127" s="124"/>
      <c r="BF127" s="124"/>
      <c r="BG127" s="124"/>
      <c r="BH127" s="124"/>
    </row>
    <row r="128" ht="31" customHeight="1" spans="1:60">
      <c r="A128" s="33"/>
      <c r="B128" s="130"/>
      <c r="C128" s="130"/>
      <c r="D128" s="149"/>
      <c r="E128" s="150"/>
      <c r="F128" s="131"/>
      <c r="G128" s="131"/>
      <c r="H128" s="136"/>
      <c r="I128" s="138"/>
      <c r="J128" s="169"/>
      <c r="K128" s="170"/>
      <c r="L128" s="167" t="str">
        <f>IF(B128&lt;&gt;0,1,"")</f>
        <v/>
      </c>
      <c r="M128" s="167" t="str">
        <f>IF(B128&lt;&gt;"",SUM(P128:Q128)*L128,"")</f>
        <v/>
      </c>
      <c r="N128" s="156"/>
      <c r="O128" s="156"/>
      <c r="P128" s="30">
        <f>IF(AND(B128&lt;&gt;"",C128&lt;&gt;""),3,0)</f>
        <v>0</v>
      </c>
      <c r="Q128" s="30">
        <f>IF(AND(I128="合作完成",AND(K128&gt;1,K128&lt;4)),IF(E128="国家级",5,IF(E128="省级",3,IF(E128="市级",2,IF(E128="校级",1)))),0)</f>
        <v>0</v>
      </c>
      <c r="R128" s="122">
        <f>IF(P128&gt;0,1,0)</f>
        <v>0</v>
      </c>
      <c r="S128" s="123"/>
      <c r="T128" s="173"/>
      <c r="U128" s="173"/>
      <c r="V128" s="173"/>
      <c r="W128" s="30"/>
      <c r="X128" s="163"/>
      <c r="Y128" s="163"/>
      <c r="Z128" s="163"/>
      <c r="AA128" s="156"/>
      <c r="AB128" s="156"/>
      <c r="AC128" s="156"/>
      <c r="AD128" s="156"/>
      <c r="AE128" s="156"/>
      <c r="AP128" s="124"/>
      <c r="AQ128" s="124"/>
      <c r="AR128" s="124"/>
      <c r="AS128" s="124"/>
      <c r="AT128" s="124"/>
      <c r="AU128" s="124"/>
      <c r="AV128" s="124"/>
      <c r="AW128" s="124"/>
      <c r="AX128" s="124"/>
      <c r="AY128" s="124"/>
      <c r="AZ128" s="124"/>
      <c r="BA128" s="124"/>
      <c r="BB128" s="124"/>
      <c r="BC128" s="124"/>
      <c r="BD128" s="124"/>
      <c r="BE128" s="124"/>
      <c r="BF128" s="124"/>
      <c r="BG128" s="124"/>
      <c r="BH128" s="124"/>
    </row>
    <row r="129" ht="31" customHeight="1" spans="1:60">
      <c r="A129" s="33"/>
      <c r="B129" s="133"/>
      <c r="C129" s="134"/>
      <c r="D129" s="134"/>
      <c r="E129" s="134"/>
      <c r="F129" s="134"/>
      <c r="G129" s="134"/>
      <c r="H129" s="134"/>
      <c r="I129" s="134"/>
      <c r="J129" s="134"/>
      <c r="K129" s="134"/>
      <c r="L129" s="157"/>
      <c r="M129" s="167">
        <f>IF(M128&lt;&gt;"",M128,0)</f>
        <v>0</v>
      </c>
      <c r="N129" s="168"/>
      <c r="O129" s="168"/>
      <c r="Q129" s="30"/>
      <c r="AB129" s="156"/>
      <c r="AP129" s="124"/>
      <c r="AQ129" s="124"/>
      <c r="AR129" s="124"/>
      <c r="AS129" s="124"/>
      <c r="AT129" s="124"/>
      <c r="AU129" s="124"/>
      <c r="AV129" s="124"/>
      <c r="AW129" s="124"/>
      <c r="AX129" s="124"/>
      <c r="AY129" s="124"/>
      <c r="AZ129" s="124"/>
      <c r="BA129" s="124"/>
      <c r="BB129" s="124"/>
      <c r="BC129" s="124"/>
      <c r="BD129" s="124"/>
      <c r="BE129" s="124"/>
      <c r="BF129" s="124"/>
      <c r="BG129" s="124"/>
      <c r="BH129" s="124"/>
    </row>
    <row r="130" ht="31" customHeight="1" spans="1:60">
      <c r="A130" s="33"/>
      <c r="B130" s="129" t="s">
        <v>183</v>
      </c>
      <c r="C130" s="129"/>
      <c r="D130" s="129"/>
      <c r="E130" s="129"/>
      <c r="F130" s="129"/>
      <c r="G130" s="129"/>
      <c r="H130" s="129"/>
      <c r="I130" s="129"/>
      <c r="J130" s="129"/>
      <c r="K130" s="129"/>
      <c r="L130" s="129"/>
      <c r="M130" s="129"/>
      <c r="N130" s="129"/>
      <c r="O130" s="129"/>
      <c r="AP130" s="124"/>
      <c r="AQ130" s="124"/>
      <c r="AR130" s="124"/>
      <c r="AS130" s="124"/>
      <c r="AT130" s="124"/>
      <c r="AU130" s="124"/>
      <c r="AV130" s="124"/>
      <c r="AW130" s="124"/>
      <c r="AX130" s="124"/>
      <c r="AY130" s="124"/>
      <c r="AZ130" s="124"/>
      <c r="BA130" s="124"/>
      <c r="BB130" s="124"/>
      <c r="BC130" s="124"/>
      <c r="BD130" s="124"/>
      <c r="BE130" s="124"/>
      <c r="BF130" s="124"/>
      <c r="BG130" s="124"/>
      <c r="BH130" s="124"/>
    </row>
    <row r="131" ht="31" customHeight="1" spans="1:60">
      <c r="A131" s="33"/>
      <c r="B131" s="58" t="s">
        <v>65</v>
      </c>
      <c r="C131" s="58" t="s">
        <v>168</v>
      </c>
      <c r="D131" s="58"/>
      <c r="E131" s="58" t="s">
        <v>169</v>
      </c>
      <c r="F131" s="58" t="s">
        <v>128</v>
      </c>
      <c r="G131" s="58"/>
      <c r="H131" s="135" t="s">
        <v>170</v>
      </c>
      <c r="I131" s="135" t="s">
        <v>130</v>
      </c>
      <c r="J131" s="58" t="s">
        <v>88</v>
      </c>
      <c r="K131" s="58" t="s">
        <v>89</v>
      </c>
      <c r="L131" s="58" t="s">
        <v>90</v>
      </c>
      <c r="M131" s="58" t="s">
        <v>91</v>
      </c>
      <c r="N131" s="58" t="s">
        <v>39</v>
      </c>
      <c r="O131" s="58" t="s">
        <v>40</v>
      </c>
      <c r="P131" s="121" t="s">
        <v>184</v>
      </c>
      <c r="Q131" s="121" t="s">
        <v>185</v>
      </c>
      <c r="R131" s="171" t="s">
        <v>182</v>
      </c>
      <c r="S131" s="172"/>
      <c r="T131" s="173"/>
      <c r="U131" s="173"/>
      <c r="V131" s="173"/>
      <c r="W131" s="121"/>
      <c r="X131" s="121"/>
      <c r="Y131" s="121"/>
      <c r="Z131" s="121"/>
      <c r="AA131" s="121"/>
      <c r="AB131" s="121"/>
      <c r="AC131" s="121"/>
      <c r="AP131" s="124"/>
      <c r="AQ131" s="124"/>
      <c r="AR131" s="124"/>
      <c r="AS131" s="124"/>
      <c r="AT131" s="124"/>
      <c r="AU131" s="124"/>
      <c r="AV131" s="124"/>
      <c r="AW131" s="124"/>
      <c r="AX131" s="124"/>
      <c r="AY131" s="124"/>
      <c r="AZ131" s="124"/>
      <c r="BA131" s="124"/>
      <c r="BB131" s="124"/>
      <c r="BC131" s="124"/>
      <c r="BD131" s="124"/>
      <c r="BE131" s="124"/>
      <c r="BF131" s="124"/>
      <c r="BG131" s="124"/>
      <c r="BH131" s="124"/>
    </row>
    <row r="132" ht="31" customHeight="1" spans="1:60">
      <c r="A132" s="33"/>
      <c r="B132" s="130"/>
      <c r="C132" s="130"/>
      <c r="D132" s="130"/>
      <c r="E132" s="130"/>
      <c r="F132" s="131"/>
      <c r="G132" s="131"/>
      <c r="H132" s="131"/>
      <c r="I132" s="131"/>
      <c r="J132" s="154"/>
      <c r="K132" s="154"/>
      <c r="L132" s="167" t="str">
        <f>IF(B132&lt;&gt;0,1,"")</f>
        <v/>
      </c>
      <c r="M132" s="167" t="str">
        <f>IF(B132&lt;&gt;"",SUM(P132:Q132)*L132,"")</f>
        <v/>
      </c>
      <c r="N132" s="156"/>
      <c r="O132" s="156"/>
      <c r="P132" s="30">
        <f>IF(B132&lt;&gt;"",IF(OR(I132="独立完成",K132=1),IF(E132="国家级",10,IF(E132="省级",5,IF(E132="市级",3,IF(E132="校级",2)))),0),0)</f>
        <v>0</v>
      </c>
      <c r="Q132" s="30">
        <f>IF(AND(I132="合作完成",AND(K132&gt;1,K132&lt;4)),IF(E132="国家级",5,IF(E132="省级",3,IF(E132="市级",2,IF(E132="校级",1)))),0)</f>
        <v>0</v>
      </c>
      <c r="R132" s="122">
        <f>IF(OR(OR(I132="独立完成",K132=1),AND(NOT(E132="校级"),AND(K132&lt;&gt;"",K132&lt;4))),1,0)</f>
        <v>0</v>
      </c>
      <c r="S132" s="123"/>
      <c r="T132" s="173"/>
      <c r="U132" s="173"/>
      <c r="V132" s="173"/>
      <c r="W132" s="30"/>
      <c r="X132" s="163"/>
      <c r="Y132" s="163"/>
      <c r="Z132" s="163"/>
      <c r="AA132" s="156"/>
      <c r="AB132" s="156"/>
      <c r="AC132" s="156"/>
      <c r="AD132" s="156"/>
      <c r="AE132" s="156"/>
      <c r="AP132" s="124"/>
      <c r="AQ132" s="124"/>
      <c r="AR132" s="124"/>
      <c r="AS132" s="124"/>
      <c r="AT132" s="124"/>
      <c r="AU132" s="124"/>
      <c r="AV132" s="124"/>
      <c r="AW132" s="124"/>
      <c r="AX132" s="124"/>
      <c r="AY132" s="124"/>
      <c r="AZ132" s="124"/>
      <c r="BA132" s="124"/>
      <c r="BB132" s="124"/>
      <c r="BC132" s="124"/>
      <c r="BD132" s="124"/>
      <c r="BE132" s="124"/>
      <c r="BF132" s="124"/>
      <c r="BG132" s="124"/>
      <c r="BH132" s="124"/>
    </row>
    <row r="133" ht="31" customHeight="1" spans="1:60">
      <c r="A133" s="33"/>
      <c r="B133" s="133"/>
      <c r="C133" s="134"/>
      <c r="D133" s="134"/>
      <c r="E133" s="134"/>
      <c r="F133" s="134"/>
      <c r="G133" s="134"/>
      <c r="H133" s="134"/>
      <c r="I133" s="134"/>
      <c r="J133" s="134"/>
      <c r="K133" s="134"/>
      <c r="L133" s="157"/>
      <c r="M133" s="167">
        <f>IF(M132&lt;&gt;"",M132,0)</f>
        <v>0</v>
      </c>
      <c r="N133" s="168"/>
      <c r="O133" s="168"/>
      <c r="Q133" s="30"/>
      <c r="AB133" s="156"/>
      <c r="AP133" s="124"/>
      <c r="AQ133" s="124"/>
      <c r="AR133" s="124"/>
      <c r="AS133" s="124"/>
      <c r="AT133" s="124"/>
      <c r="AU133" s="124"/>
      <c r="AV133" s="124"/>
      <c r="AW133" s="124"/>
      <c r="AX133" s="124"/>
      <c r="AY133" s="124"/>
      <c r="AZ133" s="124"/>
      <c r="BA133" s="124"/>
      <c r="BB133" s="124"/>
      <c r="BC133" s="124"/>
      <c r="BD133" s="124"/>
      <c r="BE133" s="124"/>
      <c r="BF133" s="124"/>
      <c r="BG133" s="124"/>
      <c r="BH133" s="124"/>
    </row>
    <row r="134" ht="31" customHeight="1" spans="1:60">
      <c r="A134" s="33"/>
      <c r="B134" s="129" t="s">
        <v>186</v>
      </c>
      <c r="C134" s="129"/>
      <c r="D134" s="129"/>
      <c r="E134" s="129"/>
      <c r="F134" s="129"/>
      <c r="G134" s="129"/>
      <c r="H134" s="129"/>
      <c r="I134" s="129"/>
      <c r="J134" s="129"/>
      <c r="K134" s="129"/>
      <c r="L134" s="129"/>
      <c r="M134" s="129"/>
      <c r="N134" s="129"/>
      <c r="O134" s="129"/>
      <c r="AP134" s="124"/>
      <c r="AQ134" s="124"/>
      <c r="AR134" s="124"/>
      <c r="AS134" s="124"/>
      <c r="AT134" s="124"/>
      <c r="AU134" s="124"/>
      <c r="AV134" s="124"/>
      <c r="AW134" s="124"/>
      <c r="AX134" s="124"/>
      <c r="AY134" s="124"/>
      <c r="AZ134" s="124"/>
      <c r="BA134" s="124"/>
      <c r="BB134" s="124"/>
      <c r="BC134" s="124"/>
      <c r="BD134" s="124"/>
      <c r="BE134" s="124"/>
      <c r="BF134" s="124"/>
      <c r="BG134" s="124"/>
      <c r="BH134" s="124"/>
    </row>
    <row r="135" ht="31" customHeight="1" spans="1:60">
      <c r="A135" s="33"/>
      <c r="B135" s="174" t="s">
        <v>144</v>
      </c>
      <c r="C135" s="175" t="s">
        <v>187</v>
      </c>
      <c r="D135" s="174" t="s">
        <v>128</v>
      </c>
      <c r="E135" s="174"/>
      <c r="F135" s="174"/>
      <c r="G135" s="58" t="s">
        <v>170</v>
      </c>
      <c r="H135" s="58"/>
      <c r="I135" s="58" t="s">
        <v>188</v>
      </c>
      <c r="J135" s="174" t="s">
        <v>130</v>
      </c>
      <c r="K135" s="174" t="s">
        <v>88</v>
      </c>
      <c r="L135" s="158" t="s">
        <v>90</v>
      </c>
      <c r="M135" s="174" t="s">
        <v>91</v>
      </c>
      <c r="N135" s="58" t="s">
        <v>39</v>
      </c>
      <c r="O135" s="58" t="s">
        <v>40</v>
      </c>
      <c r="P135" s="121" t="s">
        <v>148</v>
      </c>
      <c r="Q135" s="121" t="s">
        <v>146</v>
      </c>
      <c r="R135" s="121" t="s">
        <v>147</v>
      </c>
      <c r="S135" s="121" t="s">
        <v>149</v>
      </c>
      <c r="T135" s="121" t="s">
        <v>150</v>
      </c>
      <c r="U135" s="30" t="s">
        <v>92</v>
      </c>
      <c r="V135" s="30" t="s">
        <v>189</v>
      </c>
      <c r="W135" s="30"/>
      <c r="X135" s="30"/>
      <c r="Y135" s="30"/>
      <c r="Z135" s="30"/>
      <c r="AA135" s="30"/>
      <c r="AB135" s="30"/>
      <c r="AC135" s="30"/>
      <c r="AP135" s="124"/>
      <c r="AQ135" s="124"/>
      <c r="AR135" s="124"/>
      <c r="AS135" s="124"/>
      <c r="AT135" s="124"/>
      <c r="AU135" s="124"/>
      <c r="AV135" s="124"/>
      <c r="AW135" s="124"/>
      <c r="AX135" s="124"/>
      <c r="AY135" s="124"/>
      <c r="AZ135" s="124"/>
      <c r="BA135" s="124"/>
      <c r="BB135" s="124"/>
      <c r="BC135" s="124"/>
      <c r="BD135" s="124"/>
      <c r="BE135" s="124"/>
      <c r="BF135" s="124"/>
      <c r="BG135" s="124"/>
      <c r="BH135" s="124"/>
    </row>
    <row r="136" ht="31" customHeight="1" spans="1:60">
      <c r="A136" s="33"/>
      <c r="B136" s="130"/>
      <c r="C136" s="130"/>
      <c r="D136" s="176"/>
      <c r="E136" s="177"/>
      <c r="F136" s="150"/>
      <c r="G136" s="136"/>
      <c r="H136" s="138"/>
      <c r="I136" s="182"/>
      <c r="J136" s="131"/>
      <c r="K136" s="154"/>
      <c r="L136" s="155" t="str">
        <f>IF(B136&lt;&gt;"",U136,"")</f>
        <v/>
      </c>
      <c r="M136" s="155" t="str">
        <f>IF(B136&lt;&gt;"",SUM(P136:T136)*L136,"")</f>
        <v/>
      </c>
      <c r="N136" s="156"/>
      <c r="O136" s="156"/>
      <c r="P136" s="30">
        <f>IF(AND(B136="国家级",OR(C136="一等奖",C136="金奖")),30,IF(AND(B136="国家级",OR(C136="二等奖",C136="银奖")),24,IF(AND(B136="国家级",OR(C136="三等奖",C136="铜奖",C136="无等级")),18,0)))</f>
        <v>0</v>
      </c>
      <c r="Q136" s="30">
        <f>IF(AND(B136="市级",OR(C136="一等奖",C136="金奖")),9,IF(AND(B136="市级",OR(C136="二等奖",C136="银奖")),7,IF(AND(B136="市级",OR(C136="三等奖",C136="铜奖",C136="无等级")),5,0)))</f>
        <v>0</v>
      </c>
      <c r="R136" s="30">
        <f>IF(AND(B136="校级",OR(C136="一等奖",C136="金奖")),5,IF(AND(B136="校级",OR(C136="二等奖",C136="银奖")),3,IF(AND(B136="校级",OR(C136="三等奖",C136="铜奖",C136="无等级")),2,0)))</f>
        <v>0</v>
      </c>
      <c r="S136" s="187">
        <f>IF(AND(B136="国家开放大学",OR(C136="一等奖",C136="金奖")),15,IF(AND(B136="国家开放大学",OR(C136="二等奖",C136="银奖")),12,IF(AND(B136="国家开放大学",OR(C136="三等奖",C136="铜奖",C136="无等级")),9,0)))</f>
        <v>0</v>
      </c>
      <c r="T136" s="187">
        <f>IF(AND(B136="省级",OR(C136="一等奖",C136="金奖")),15,IF(AND(B136="省级",OR(C136="二等奖",C136="银奖")),12,IF(AND(B136="省级",OR(C136="三等奖",C136="铜奖",C136="无等级")),9,0)))</f>
        <v>0</v>
      </c>
      <c r="U136" s="156">
        <v>1</v>
      </c>
      <c r="V136" s="187">
        <f>IF(OR(B136="",B136="校级"),0,1)</f>
        <v>0</v>
      </c>
      <c r="W136" s="156"/>
      <c r="X136" s="156"/>
      <c r="Y136" s="156"/>
      <c r="Z136" s="156"/>
      <c r="AA136" s="156"/>
      <c r="AB136" s="156"/>
      <c r="AC136" s="156"/>
      <c r="AD136" s="156"/>
      <c r="AE136" s="156"/>
      <c r="AP136" s="124"/>
      <c r="AQ136" s="124"/>
      <c r="AR136" s="124"/>
      <c r="AS136" s="124"/>
      <c r="AT136" s="124"/>
      <c r="AU136" s="124"/>
      <c r="AV136" s="124"/>
      <c r="AW136" s="124"/>
      <c r="AX136" s="124"/>
      <c r="AY136" s="124"/>
      <c r="AZ136" s="124"/>
      <c r="BA136" s="124"/>
      <c r="BB136" s="124"/>
      <c r="BC136" s="124"/>
      <c r="BD136" s="124"/>
      <c r="BE136" s="124"/>
      <c r="BF136" s="124"/>
      <c r="BG136" s="124"/>
      <c r="BH136" s="124"/>
    </row>
    <row r="137" ht="31" customHeight="1" spans="1:60">
      <c r="A137" s="33"/>
      <c r="B137" s="130"/>
      <c r="C137" s="130"/>
      <c r="D137" s="176"/>
      <c r="E137" s="177"/>
      <c r="F137" s="150"/>
      <c r="G137" s="136"/>
      <c r="H137" s="138"/>
      <c r="I137" s="182"/>
      <c r="J137" s="131"/>
      <c r="K137" s="154"/>
      <c r="L137" s="155" t="str">
        <f>IF(B137&lt;&gt;"",U137,"")</f>
        <v/>
      </c>
      <c r="M137" s="155" t="str">
        <f>IF(B137&lt;&gt;"",SUM(P137:T137)*L137,"")</f>
        <v/>
      </c>
      <c r="N137" s="156"/>
      <c r="O137" s="156"/>
      <c r="P137" s="30">
        <f>IF(AND(B137="国家级",OR(C137="一等奖",C137="金奖")),30,IF(AND(B137="国家级",OR(C137="二等奖",C137="银奖")),24,IF(AND(B137="国家级",OR(C137="三等奖",C137="铜奖",C137="无等级")),18,0)))</f>
        <v>0</v>
      </c>
      <c r="Q137" s="30">
        <f>IF(AND(B137="市级",OR(C137="一等奖",C137="金奖")),9,IF(AND(B137="市级",OR(C137="二等奖",C137="银奖")),7,IF(AND(B137="市级",OR(C137="三等奖",C137="铜奖",C137="无等级")),5,0)))</f>
        <v>0</v>
      </c>
      <c r="R137" s="30">
        <f>IF(AND(B137="校级",OR(C137="一等奖",C137="金奖")),5,IF(AND(B137="校级",OR(C137="二等奖",C137="银奖")),3,IF(AND(B137="校级",OR(C137="三等奖",C137="铜奖",C137="无等级")),2,0)))</f>
        <v>0</v>
      </c>
      <c r="S137" s="187">
        <f>IF(AND(B137="国家开放大学",OR(C137="一等奖",C137="金奖")),15,IF(AND(B137="国家开放大学",OR(C137="二等奖",C137="银奖")),12,IF(AND(B137="国家开放大学",OR(C137="三等奖",C137="铜奖",C137="无等级")),9,0)))</f>
        <v>0</v>
      </c>
      <c r="T137" s="187">
        <f>IF(AND(B137="省级",OR(C137="一等奖",C137="金奖")),15,IF(AND(B137="省级",OR(C137="二等奖",C137="银奖")),12,IF(AND(B137="省级",OR(C137="三等奖",C137="铜奖",C137="无等级")),9,0)))</f>
        <v>0</v>
      </c>
      <c r="U137" s="156">
        <v>1</v>
      </c>
      <c r="V137" s="187">
        <f>IF(OR(B137="",B137="校级"),0,1)</f>
        <v>0</v>
      </c>
      <c r="W137" s="156"/>
      <c r="X137" s="156"/>
      <c r="Y137" s="156"/>
      <c r="Z137" s="156"/>
      <c r="AA137" s="156"/>
      <c r="AB137" s="156"/>
      <c r="AC137" s="156"/>
      <c r="AD137" s="156"/>
      <c r="AE137" s="156"/>
      <c r="AP137" s="124"/>
      <c r="AQ137" s="124"/>
      <c r="AR137" s="124"/>
      <c r="AS137" s="124"/>
      <c r="AT137" s="124"/>
      <c r="AU137" s="124"/>
      <c r="AV137" s="124"/>
      <c r="AW137" s="124"/>
      <c r="AX137" s="124"/>
      <c r="AY137" s="124"/>
      <c r="AZ137" s="124"/>
      <c r="BA137" s="124"/>
      <c r="BB137" s="124"/>
      <c r="BC137" s="124"/>
      <c r="BD137" s="124"/>
      <c r="BE137" s="124"/>
      <c r="BF137" s="124"/>
      <c r="BG137" s="124"/>
      <c r="BH137" s="124"/>
    </row>
    <row r="138" ht="31" customHeight="1" spans="1:60">
      <c r="A138" s="33"/>
      <c r="B138" s="130"/>
      <c r="C138" s="130"/>
      <c r="D138" s="176"/>
      <c r="E138" s="177"/>
      <c r="F138" s="150"/>
      <c r="G138" s="136"/>
      <c r="H138" s="138"/>
      <c r="I138" s="182"/>
      <c r="J138" s="131"/>
      <c r="K138" s="154"/>
      <c r="L138" s="155" t="str">
        <f>IF(B138&lt;&gt;"",U138,"")</f>
        <v/>
      </c>
      <c r="M138" s="155" t="str">
        <f>IF(B138&lt;&gt;"",SUM(P138:T138)*L138,"")</f>
        <v/>
      </c>
      <c r="N138" s="156"/>
      <c r="O138" s="156"/>
      <c r="P138" s="30">
        <f>IF(AND(B138="国家级",OR(C138="一等奖",C138="金奖")),30,IF(AND(B138="国家级",OR(C138="二等奖",C138="银奖")),24,IF(AND(B138="国家级",OR(C138="三等奖",C138="铜奖",C138="无等级")),18,0)))</f>
        <v>0</v>
      </c>
      <c r="Q138" s="30">
        <f>IF(AND(B138="市级",OR(C138="一等奖",C138="金奖")),9,IF(AND(B138="市级",OR(C138="二等奖",C138="银奖")),7,IF(AND(B138="市级",OR(C138="三等奖",C138="铜奖",C138="无等级")),5,0)))</f>
        <v>0</v>
      </c>
      <c r="R138" s="30">
        <f>IF(AND(B138="校级",OR(C138="一等奖",C138="金奖")),5,IF(AND(B138="校级",OR(C138="二等奖",C138="银奖")),3,IF(AND(B138="校级",OR(C138="三等奖",C138="铜奖",C138="无等级")),2,0)))</f>
        <v>0</v>
      </c>
      <c r="S138" s="187">
        <f>IF(AND(B138="国家开放大学",OR(C138="一等奖",C138="金奖")),15,IF(AND(B138="国家开放大学",OR(C138="二等奖",C138="银奖")),12,IF(AND(B138="国家开放大学",OR(C138="三等奖",C138="铜奖",C138="无等级")),9,0)))</f>
        <v>0</v>
      </c>
      <c r="T138" s="187">
        <f>IF(AND(B138="省级",OR(C138="一等奖",C138="金奖")),15,IF(AND(B138="省级",OR(C138="二等奖",C138="银奖")),12,IF(AND(B138="省级",OR(C138="三等奖",C138="铜奖",C138="无等级")),9,0)))</f>
        <v>0</v>
      </c>
      <c r="U138" s="156">
        <v>1</v>
      </c>
      <c r="V138" s="187">
        <f>IF(OR(B138="",B138="校级"),0,1)</f>
        <v>0</v>
      </c>
      <c r="W138" s="156"/>
      <c r="X138" s="156"/>
      <c r="Y138" s="156"/>
      <c r="Z138" s="156"/>
      <c r="AA138" s="156"/>
      <c r="AB138" s="156"/>
      <c r="AC138" s="156"/>
      <c r="AD138" s="156"/>
      <c r="AE138" s="156"/>
      <c r="AP138" s="124"/>
      <c r="AQ138" s="124"/>
      <c r="AR138" s="124"/>
      <c r="AS138" s="124"/>
      <c r="AT138" s="124"/>
      <c r="AU138" s="124"/>
      <c r="AV138" s="124"/>
      <c r="AW138" s="124"/>
      <c r="AX138" s="124"/>
      <c r="AY138" s="124"/>
      <c r="AZ138" s="124"/>
      <c r="BA138" s="124"/>
      <c r="BB138" s="124"/>
      <c r="BC138" s="124"/>
      <c r="BD138" s="124"/>
      <c r="BE138" s="124"/>
      <c r="BF138" s="124"/>
      <c r="BG138" s="124"/>
      <c r="BH138" s="124"/>
    </row>
    <row r="139" ht="31" customHeight="1" spans="1:60">
      <c r="A139" s="33"/>
      <c r="B139" s="133" t="s">
        <v>61</v>
      </c>
      <c r="C139" s="134"/>
      <c r="D139" s="134"/>
      <c r="E139" s="134"/>
      <c r="F139" s="134"/>
      <c r="G139" s="134"/>
      <c r="H139" s="134"/>
      <c r="I139" s="134"/>
      <c r="J139" s="134"/>
      <c r="K139" s="134"/>
      <c r="L139" s="157"/>
      <c r="M139" s="155">
        <f>IF(M136&lt;&gt;"",SUM(M136:M138),0)</f>
        <v>0</v>
      </c>
      <c r="N139" s="168"/>
      <c r="O139" s="168"/>
      <c r="AP139" s="124"/>
      <c r="AQ139" s="124"/>
      <c r="AR139" s="124"/>
      <c r="AS139" s="124"/>
      <c r="AT139" s="124"/>
      <c r="AU139" s="124"/>
      <c r="AV139" s="124"/>
      <c r="AW139" s="124"/>
      <c r="AX139" s="124"/>
      <c r="AY139" s="124"/>
      <c r="AZ139" s="124"/>
      <c r="BA139" s="124"/>
      <c r="BB139" s="124"/>
      <c r="BC139" s="124"/>
      <c r="BD139" s="124"/>
      <c r="BE139" s="124"/>
      <c r="BF139" s="124"/>
      <c r="BG139" s="124"/>
      <c r="BH139" s="124"/>
    </row>
    <row r="140" ht="31" customHeight="1" spans="1:60">
      <c r="A140" s="33"/>
      <c r="B140" s="129" t="s">
        <v>190</v>
      </c>
      <c r="C140" s="129"/>
      <c r="D140" s="129"/>
      <c r="E140" s="129"/>
      <c r="F140" s="129"/>
      <c r="G140" s="129"/>
      <c r="H140" s="129"/>
      <c r="I140" s="129"/>
      <c r="J140" s="129"/>
      <c r="K140" s="129"/>
      <c r="L140" s="129"/>
      <c r="M140" s="129"/>
      <c r="N140" s="129"/>
      <c r="O140" s="129"/>
      <c r="AP140" s="124"/>
      <c r="AQ140" s="124"/>
      <c r="AR140" s="124"/>
      <c r="AS140" s="124"/>
      <c r="AT140" s="124"/>
      <c r="AU140" s="124"/>
      <c r="AV140" s="124"/>
      <c r="AW140" s="124"/>
      <c r="AX140" s="124"/>
      <c r="AY140" s="124"/>
      <c r="AZ140" s="124"/>
      <c r="BA140" s="124"/>
      <c r="BB140" s="124"/>
      <c r="BC140" s="124"/>
      <c r="BD140" s="124"/>
      <c r="BE140" s="124"/>
      <c r="BF140" s="124"/>
      <c r="BG140" s="124"/>
      <c r="BH140" s="124"/>
    </row>
    <row r="141" ht="31" customHeight="1" spans="1:60">
      <c r="A141" s="33"/>
      <c r="B141" s="58" t="s">
        <v>191</v>
      </c>
      <c r="C141" s="63" t="s">
        <v>169</v>
      </c>
      <c r="D141" s="76"/>
      <c r="E141" s="75" t="s">
        <v>192</v>
      </c>
      <c r="F141" s="75" t="s">
        <v>193</v>
      </c>
      <c r="G141" s="76"/>
      <c r="H141" s="77"/>
      <c r="I141" s="75" t="s">
        <v>194</v>
      </c>
      <c r="J141" s="76"/>
      <c r="K141" s="77"/>
      <c r="L141" s="158" t="s">
        <v>90</v>
      </c>
      <c r="M141" s="58" t="s">
        <v>91</v>
      </c>
      <c r="N141" s="58" t="s">
        <v>39</v>
      </c>
      <c r="O141" s="58" t="s">
        <v>40</v>
      </c>
      <c r="P141" s="121" t="s">
        <v>92</v>
      </c>
      <c r="Q141" s="121" t="s">
        <v>195</v>
      </c>
      <c r="R141" s="121" t="s">
        <v>196</v>
      </c>
      <c r="S141" s="121" t="s">
        <v>197</v>
      </c>
      <c r="T141" s="121" t="s">
        <v>198</v>
      </c>
      <c r="U141" s="121" t="s">
        <v>166</v>
      </c>
      <c r="V141" s="30"/>
      <c r="AP141" s="124"/>
      <c r="AQ141" s="124"/>
      <c r="AR141" s="124"/>
      <c r="AS141" s="124"/>
      <c r="AT141" s="124"/>
      <c r="AU141" s="124"/>
      <c r="AV141" s="124"/>
      <c r="AW141" s="124"/>
      <c r="AX141" s="124"/>
      <c r="AY141" s="124"/>
      <c r="AZ141" s="124"/>
      <c r="BA141" s="124"/>
      <c r="BB141" s="124"/>
      <c r="BC141" s="124"/>
      <c r="BD141" s="124"/>
      <c r="BE141" s="124"/>
      <c r="BF141" s="124"/>
      <c r="BG141" s="124"/>
      <c r="BH141" s="124"/>
    </row>
    <row r="142" ht="31" customHeight="1" spans="1:60">
      <c r="A142" s="33"/>
      <c r="B142" s="130"/>
      <c r="C142" s="176"/>
      <c r="D142" s="150"/>
      <c r="E142" s="131"/>
      <c r="F142" s="176"/>
      <c r="G142" s="177"/>
      <c r="H142" s="150"/>
      <c r="I142" s="136"/>
      <c r="J142" s="137"/>
      <c r="K142" s="138"/>
      <c r="L142" s="155" t="str">
        <f>IF(B142&lt;&gt;"",1,"")</f>
        <v/>
      </c>
      <c r="M142" s="155" t="str">
        <f>IF(B142&lt;&gt;"",SUM(Q142:T142)*L142,"")</f>
        <v/>
      </c>
      <c r="N142" s="30"/>
      <c r="O142" s="30"/>
      <c r="P142" s="30">
        <f>IF(I142="独立完成",1,IF(K142=1,0.6,IF(K142=2,0.4,IF(K142=3,0.2,IF(K142=4,0.1,IF(K142&gt;4,0.05,0))))))</f>
        <v>0</v>
      </c>
      <c r="Q142" s="30">
        <f>IF(C142="高级",3,0)</f>
        <v>0</v>
      </c>
      <c r="R142" s="30">
        <f>IF(C142="中级",2,0)</f>
        <v>0</v>
      </c>
      <c r="S142" s="30">
        <f>IF(C142="初级",1,0)</f>
        <v>0</v>
      </c>
      <c r="T142" s="30">
        <f>IF(C142="无等级",2,0)</f>
        <v>0</v>
      </c>
      <c r="U142" s="30">
        <f>IF(OR(C142="无等级",C142="中级",C142="高级"),1,0)</f>
        <v>0</v>
      </c>
      <c r="V142" s="30"/>
      <c r="AP142" s="124"/>
      <c r="AQ142" s="124"/>
      <c r="AR142" s="124"/>
      <c r="AS142" s="124"/>
      <c r="AT142" s="124"/>
      <c r="AU142" s="124"/>
      <c r="AV142" s="124"/>
      <c r="AW142" s="124"/>
      <c r="AX142" s="124"/>
      <c r="AY142" s="124"/>
      <c r="AZ142" s="124"/>
      <c r="BA142" s="124"/>
      <c r="BB142" s="124"/>
      <c r="BC142" s="124"/>
      <c r="BD142" s="124"/>
      <c r="BE142" s="124"/>
      <c r="BF142" s="124"/>
      <c r="BG142" s="124"/>
      <c r="BH142" s="124"/>
    </row>
    <row r="143" ht="31" customHeight="1" spans="1:60">
      <c r="A143" s="33"/>
      <c r="B143" s="130"/>
      <c r="C143" s="176"/>
      <c r="D143" s="150"/>
      <c r="E143" s="131"/>
      <c r="F143" s="176"/>
      <c r="G143" s="177"/>
      <c r="H143" s="150"/>
      <c r="I143" s="136"/>
      <c r="J143" s="137"/>
      <c r="K143" s="138"/>
      <c r="L143" s="155" t="str">
        <f>IF(B143&lt;&gt;"",1,"")</f>
        <v/>
      </c>
      <c r="M143" s="155" t="str">
        <f>IF(B143&lt;&gt;"",SUM(Q143:T143)*L143,"")</f>
        <v/>
      </c>
      <c r="N143" s="30"/>
      <c r="O143" s="30"/>
      <c r="P143" s="30">
        <f>IF(I143="独立完成",1,IF(K143=1,0.6,IF(K143=2,0.4,IF(K143=3,0.2,IF(K143=4,0.1,IF(K143&gt;4,0.05,0))))))</f>
        <v>0</v>
      </c>
      <c r="Q143" s="30">
        <f>IF(C143="高级",3,0)</f>
        <v>0</v>
      </c>
      <c r="R143" s="30">
        <f>IF(C143="中级",2,0)</f>
        <v>0</v>
      </c>
      <c r="S143" s="30">
        <f>IF(C143="初级",1,0)</f>
        <v>0</v>
      </c>
      <c r="T143" s="30">
        <f>IF(C143="无等级",2,0)</f>
        <v>0</v>
      </c>
      <c r="U143" s="30">
        <f>IF(OR(C143="无等级",C143="中级",C143="高级"),1,0)</f>
        <v>0</v>
      </c>
      <c r="V143" s="30"/>
      <c r="AP143" s="124"/>
      <c r="AQ143" s="124"/>
      <c r="AR143" s="124"/>
      <c r="AS143" s="124"/>
      <c r="AT143" s="124"/>
      <c r="AU143" s="124"/>
      <c r="AV143" s="124"/>
      <c r="AW143" s="124"/>
      <c r="AX143" s="124"/>
      <c r="AY143" s="124"/>
      <c r="AZ143" s="124"/>
      <c r="BA143" s="124"/>
      <c r="BB143" s="124"/>
      <c r="BC143" s="124"/>
      <c r="BD143" s="124"/>
      <c r="BE143" s="124"/>
      <c r="BF143" s="124"/>
      <c r="BG143" s="124"/>
      <c r="BH143" s="124"/>
    </row>
    <row r="144" ht="31" customHeight="1" spans="1:60">
      <c r="A144" s="33"/>
      <c r="B144" s="133" t="s">
        <v>61</v>
      </c>
      <c r="C144" s="134"/>
      <c r="D144" s="134"/>
      <c r="E144" s="134"/>
      <c r="F144" s="134"/>
      <c r="G144" s="134"/>
      <c r="H144" s="134"/>
      <c r="I144" s="134"/>
      <c r="J144" s="134"/>
      <c r="K144" s="134"/>
      <c r="L144" s="157"/>
      <c r="M144" s="155">
        <f>IF(M142&lt;&gt;"",SUM(M142:M143),0)</f>
        <v>0</v>
      </c>
      <c r="N144" s="158"/>
      <c r="O144" s="158"/>
      <c r="AP144" s="124"/>
      <c r="AQ144" s="124"/>
      <c r="AR144" s="124"/>
      <c r="AS144" s="124"/>
      <c r="AT144" s="124"/>
      <c r="AU144" s="124"/>
      <c r="AV144" s="124"/>
      <c r="AW144" s="124"/>
      <c r="AX144" s="124"/>
      <c r="AY144" s="124"/>
      <c r="AZ144" s="124"/>
      <c r="BA144" s="124"/>
      <c r="BB144" s="124"/>
      <c r="BC144" s="124"/>
      <c r="BD144" s="124"/>
      <c r="BE144" s="124"/>
      <c r="BF144" s="124"/>
      <c r="BG144" s="124"/>
      <c r="BH144" s="124"/>
    </row>
    <row r="145" ht="31" customHeight="1" spans="1:60">
      <c r="A145" s="33"/>
      <c r="B145" s="129" t="s">
        <v>199</v>
      </c>
      <c r="C145" s="129"/>
      <c r="D145" s="129"/>
      <c r="E145" s="129"/>
      <c r="F145" s="129"/>
      <c r="G145" s="129"/>
      <c r="H145" s="129"/>
      <c r="I145" s="129"/>
      <c r="J145" s="129"/>
      <c r="K145" s="129"/>
      <c r="L145" s="129"/>
      <c r="M145" s="129"/>
      <c r="N145" s="129"/>
      <c r="O145" s="129"/>
      <c r="AP145" s="124"/>
      <c r="AQ145" s="124"/>
      <c r="AR145" s="124"/>
      <c r="AS145" s="124"/>
      <c r="AT145" s="124"/>
      <c r="AU145" s="124"/>
      <c r="AV145" s="124"/>
      <c r="AW145" s="124"/>
      <c r="AX145" s="124"/>
      <c r="AY145" s="124"/>
      <c r="AZ145" s="124"/>
      <c r="BA145" s="124"/>
      <c r="BB145" s="124"/>
      <c r="BC145" s="124"/>
      <c r="BD145" s="124"/>
      <c r="BE145" s="124"/>
      <c r="BF145" s="124"/>
      <c r="BG145" s="124"/>
      <c r="BH145" s="124"/>
    </row>
    <row r="146" ht="31" customHeight="1" spans="1:60">
      <c r="A146" s="33"/>
      <c r="B146" s="58" t="s">
        <v>200</v>
      </c>
      <c r="C146" s="63" t="s">
        <v>201</v>
      </c>
      <c r="D146" s="178"/>
      <c r="E146" s="75" t="s">
        <v>105</v>
      </c>
      <c r="F146" s="58" t="s">
        <v>202</v>
      </c>
      <c r="G146" s="58"/>
      <c r="H146" s="179" t="s">
        <v>203</v>
      </c>
      <c r="I146" s="58" t="s">
        <v>130</v>
      </c>
      <c r="J146" s="58" t="s">
        <v>88</v>
      </c>
      <c r="K146" s="58" t="s">
        <v>89</v>
      </c>
      <c r="L146" s="158" t="s">
        <v>90</v>
      </c>
      <c r="M146" s="58" t="s">
        <v>91</v>
      </c>
      <c r="N146" s="58" t="s">
        <v>39</v>
      </c>
      <c r="O146" s="58" t="s">
        <v>40</v>
      </c>
      <c r="P146" s="121" t="s">
        <v>92</v>
      </c>
      <c r="Q146" s="121" t="s">
        <v>204</v>
      </c>
      <c r="R146" s="121" t="s">
        <v>205</v>
      </c>
      <c r="S146" s="121" t="s">
        <v>206</v>
      </c>
      <c r="T146" s="121" t="s">
        <v>207</v>
      </c>
      <c r="U146" s="121" t="s">
        <v>208</v>
      </c>
      <c r="V146" s="121" t="s">
        <v>209</v>
      </c>
      <c r="W146" s="121" t="s">
        <v>210</v>
      </c>
      <c r="X146" s="30" t="s">
        <v>90</v>
      </c>
      <c r="AP146" s="124"/>
      <c r="AQ146" s="124"/>
      <c r="AR146" s="124"/>
      <c r="AS146" s="124"/>
      <c r="AT146" s="124"/>
      <c r="AU146" s="124"/>
      <c r="AV146" s="124"/>
      <c r="AW146" s="124"/>
      <c r="AX146" s="124"/>
      <c r="AY146" s="124"/>
      <c r="AZ146" s="124"/>
      <c r="BA146" s="124"/>
      <c r="BB146" s="124"/>
      <c r="BC146" s="124"/>
      <c r="BD146" s="124"/>
      <c r="BE146" s="124"/>
      <c r="BF146" s="124"/>
      <c r="BG146" s="124"/>
      <c r="BH146" s="124"/>
    </row>
    <row r="147" ht="31" customHeight="1" spans="1:60">
      <c r="A147" s="33"/>
      <c r="B147" s="130"/>
      <c r="C147" s="176"/>
      <c r="D147" s="150"/>
      <c r="E147" s="131"/>
      <c r="F147" s="130"/>
      <c r="G147" s="130"/>
      <c r="H147" s="150"/>
      <c r="I147" s="131"/>
      <c r="J147" s="185"/>
      <c r="K147" s="186"/>
      <c r="L147" s="155" t="str">
        <f>IF(B147&lt;&gt;"",X147,"")</f>
        <v/>
      </c>
      <c r="M147" s="155" t="str">
        <f>IF(B147&lt;&gt;"",SUM(Q147:T147)*L147,"")</f>
        <v/>
      </c>
      <c r="N147" s="30"/>
      <c r="O147" s="30"/>
      <c r="P147" s="30">
        <f>IF(I147="独立完成",1,IF(K147=1,0.6,IF(AND(J147=2,K147=2),0.4,IF(AND(J147&gt;2,K147=2),0.3,IF(AND(J147&gt;2,K147=3),0.2,IF(AND(J147&gt;2,K147&gt;3),0.1,0))))))</f>
        <v>0</v>
      </c>
      <c r="Q147" s="30">
        <f>IF(AND(C147="国家级",E147="大型实训中心"),30,IF(AND(C147="省级",E147="大型实训中心"),16,IF(AND(C147="市级",E147="大型实训中心"),10,IF(AND(C147="校级",E147="大型实训中心"),4,0))))</f>
        <v>0</v>
      </c>
      <c r="R147" s="30">
        <f>IF(AND(C147="国家级",E147="实训基地"),20,IF(AND(C147="省级",E147="实训基地"),12,IF(AND(C147="市级",E147="实训基地"),6,IF(AND(C147="校级",E147="实训基地"),2,0))))</f>
        <v>0</v>
      </c>
      <c r="S147" s="30">
        <f>IF(AND(C147="国家级",E147="创新创业基地"),20,IF(AND(C147="省级",E147="创新创业基地"),12,IF(AND(C147="市级",E147="创新创业基地"),6,IF(AND(C147="校级",E147="创新创业基地"),2,0))))</f>
        <v>0</v>
      </c>
      <c r="T147" s="30">
        <f>IF(AND(C147="大型以上企业",E147="企业一线工作"),6,IF(AND(C147="中小型企业",E147="企业一线工作"),3,IF(AND(C147="微型企业",E147="企业一线工作"),2,0)))</f>
        <v>0</v>
      </c>
      <c r="U147" s="30">
        <f>IF(OR(I147="独立完成",AND(K147&lt;&gt;"",K147&lt;4)),IF(OR(E147="实训基地",E147="创新创业基地"),1,0),0)</f>
        <v>0</v>
      </c>
      <c r="V147" s="30">
        <f>IF(OR(I147="独立完成",AND(K147&lt;&gt;"",K147&lt;4)),IF(E147="大型实训中心",1,0),0)</f>
        <v>0</v>
      </c>
      <c r="W147" s="30">
        <f>IF(E147="企业一线工作",1,0)</f>
        <v>0</v>
      </c>
      <c r="X147" s="30">
        <f>IF(I147="独立完成",1,IF(K147=1,0.6,IF(AND(J147=2,K147=2),0.4,IF(AND(J147&gt;2,K147=2),0.3,IF(AND(J147&gt;2,K147=3),0.2,IF(AND(J147&gt;2,K147&gt;3),0.1,0))))))</f>
        <v>0</v>
      </c>
      <c r="AP147" s="124"/>
      <c r="AQ147" s="124"/>
      <c r="AR147" s="124"/>
      <c r="AS147" s="124"/>
      <c r="AT147" s="124"/>
      <c r="AU147" s="124"/>
      <c r="AV147" s="124"/>
      <c r="AW147" s="124"/>
      <c r="AX147" s="124"/>
      <c r="AY147" s="124"/>
      <c r="AZ147" s="124"/>
      <c r="BA147" s="124"/>
      <c r="BB147" s="124"/>
      <c r="BC147" s="124"/>
      <c r="BD147" s="124"/>
      <c r="BE147" s="124"/>
      <c r="BF147" s="124"/>
      <c r="BG147" s="124"/>
      <c r="BH147" s="124"/>
    </row>
    <row r="148" ht="31" customHeight="1" spans="1:60">
      <c r="A148" s="33"/>
      <c r="B148" s="130"/>
      <c r="C148" s="176"/>
      <c r="D148" s="150"/>
      <c r="E148" s="131"/>
      <c r="F148" s="130"/>
      <c r="G148" s="130"/>
      <c r="H148" s="150"/>
      <c r="I148" s="131"/>
      <c r="J148" s="185"/>
      <c r="K148" s="186"/>
      <c r="L148" s="155" t="str">
        <f>IF(B148&lt;&gt;"",X148,"")</f>
        <v/>
      </c>
      <c r="M148" s="155" t="str">
        <f>IF(B148&lt;&gt;"",SUM(Q148:T148)*L148,"")</f>
        <v/>
      </c>
      <c r="N148" s="30"/>
      <c r="O148" s="30"/>
      <c r="P148" s="30">
        <f>IF(I148="独立完成",1,IF(K148=1,0.6,IF(AND(J148=2,K148=2),0.4,IF(AND(J148&gt;2,K148=2),0.3,IF(AND(J148&gt;2,K148=3),0.2,IF(AND(J148&gt;2,K148&gt;3),0.1,0))))))</f>
        <v>0</v>
      </c>
      <c r="Q148" s="30">
        <f>IF(AND(C148="国家级",E148="大型实训中心"),30,IF(AND(C148="省级",E148="大型实训中心"),16,IF(AND(C148="市级",E148="大型实训中心"),10,IF(AND(C148="校级",E148="大型实训中心"),4,0))))</f>
        <v>0</v>
      </c>
      <c r="R148" s="30">
        <f>IF(AND(C148="国家级",E148="实训基地"),20,IF(AND(C148="省级",E148="实训基地"),12,IF(AND(C148="市级",E148="实训基地"),6,IF(AND(C148="校级",E148="实训基地"),2,0))))</f>
        <v>0</v>
      </c>
      <c r="S148" s="30">
        <f>IF(AND(C148="国家级",E148="创新创业基地"),20,IF(AND(C148="省级",E148="创新创业基地"),12,IF(AND(C148="市级",E148="创新创业基地"),6,IF(AND(C148="校级",E148="创新创业基地"),2,0))))</f>
        <v>0</v>
      </c>
      <c r="T148" s="30">
        <f>IF(AND(C148="大型以上企业",E148="企业一线工作"),6,IF(AND(C148="中小型企业",E148="企业一线工作"),3,IF(AND(C148="微型企业",E148="企业一线工作"),2,0)))</f>
        <v>0</v>
      </c>
      <c r="U148" s="30">
        <f>IF(OR(I148="独立完成",AND(K148&lt;&gt;"",K148&lt;4)),IF(OR(E148="实训基地",E148="创新创业基地"),1,0),0)</f>
        <v>0</v>
      </c>
      <c r="V148" s="30">
        <f>IF(OR(I148="独立完成",AND(K148&lt;&gt;"",K148&lt;4)),IF(E148="大型实训中心",1,0),0)</f>
        <v>0</v>
      </c>
      <c r="W148" s="30">
        <f>IF(E148="企业一线工作",1,0)</f>
        <v>0</v>
      </c>
      <c r="X148" s="30">
        <f>IF(I148="独立完成",1,IF(K148=1,0.6,IF(AND(J148=2,K148=2),0.4,IF(AND(J148&gt;2,K148=2),0.3,IF(AND(J148&gt;2,K148=3),0.2,IF(AND(J148&gt;2,K148&gt;3),0.1,0))))))</f>
        <v>0</v>
      </c>
      <c r="AP148" s="124"/>
      <c r="AQ148" s="124"/>
      <c r="AR148" s="124"/>
      <c r="AS148" s="124"/>
      <c r="AT148" s="124"/>
      <c r="AU148" s="124"/>
      <c r="AV148" s="124"/>
      <c r="AW148" s="124"/>
      <c r="AX148" s="124"/>
      <c r="AY148" s="124"/>
      <c r="AZ148" s="124"/>
      <c r="BA148" s="124"/>
      <c r="BB148" s="124"/>
      <c r="BC148" s="124"/>
      <c r="BD148" s="124"/>
      <c r="BE148" s="124"/>
      <c r="BF148" s="124"/>
      <c r="BG148" s="124"/>
      <c r="BH148" s="124"/>
    </row>
    <row r="149" ht="31" customHeight="1" spans="1:60">
      <c r="A149" s="33"/>
      <c r="B149" s="130"/>
      <c r="C149" s="180"/>
      <c r="D149" s="181"/>
      <c r="E149" s="182"/>
      <c r="F149" s="130"/>
      <c r="G149" s="130"/>
      <c r="H149" s="150"/>
      <c r="I149" s="131"/>
      <c r="J149" s="185"/>
      <c r="K149" s="186"/>
      <c r="L149" s="155" t="str">
        <f>IF(B149&lt;&gt;"",X149,"")</f>
        <v/>
      </c>
      <c r="M149" s="155" t="str">
        <f>IF(B149&lt;&gt;"",SUM(Q149:T149)*L149,"")</f>
        <v/>
      </c>
      <c r="N149" s="30"/>
      <c r="O149" s="30"/>
      <c r="P149" s="30">
        <f>IF(I149="独立完成",1,IF(K149=1,0.6,IF(AND(J149=2,K149=2),0.4,IF(AND(J149&gt;2,K149=2),0.3,IF(AND(J149&gt;2,K149=3),0.2,IF(AND(J149&gt;2,K149&gt;3),0.1,0))))))</f>
        <v>0</v>
      </c>
      <c r="Q149" s="30">
        <f>IF(AND(C149="国家级",E149="大型实训中心"),30,IF(AND(C149="省级",E149="大型实训中心"),16,IF(AND(C149="市级",E149="大型实训中心"),10,IF(AND(C149="校级",E149="大型实训中心"),4,0))))</f>
        <v>0</v>
      </c>
      <c r="R149" s="30">
        <f>IF(AND(C149="国家级",E149="实训基地"),20,IF(AND(C149="省级",E149="实训基地"),12,IF(AND(C149="市级",E149="实训基地"),6,IF(AND(C149="校级",E149="实训基地"),2,0))))</f>
        <v>0</v>
      </c>
      <c r="S149" s="30">
        <f>IF(AND(C149="国家级",E149="创新创业基地"),20,IF(AND(C149="省级",E149="创新创业基地"),12,IF(AND(C149="市级",E149="创新创业基地"),6,IF(AND(C149="校级",E149="创新创业基地"),2,0))))</f>
        <v>0</v>
      </c>
      <c r="T149" s="30">
        <f>IF(AND(C149="大型以上企业",E149="企业一线工作"),6,IF(AND(C149="中小型企业",E149="企业一线工作"),3,IF(AND(C149="微型企业",E149="企业一线工作"),2,0)))</f>
        <v>0</v>
      </c>
      <c r="U149" s="30">
        <f>IF(OR(I149="独立完成",AND(K149&lt;&gt;"",K149&lt;4)),IF(OR(E149="实训基地",E149="创新创业基地"),1,0),0)</f>
        <v>0</v>
      </c>
      <c r="V149" s="30">
        <f>IF(OR(I149="独立完成",AND(K149&lt;&gt;"",K149&lt;4)),IF(E149="大型实训中心",1,0),0)</f>
        <v>0</v>
      </c>
      <c r="W149" s="30">
        <f>IF(E149="企业一线工作",1,0)</f>
        <v>0</v>
      </c>
      <c r="X149" s="30">
        <f>IF(I149="独立完成",1,IF(K149=1,0.6,IF(AND(J149=2,K149=2),0.4,IF(AND(J149&gt;2,K149=2),0.3,IF(AND(J149&gt;2,K149=3),0.2,IF(AND(J149&gt;2,K149&gt;3),0.1,0))))))</f>
        <v>0</v>
      </c>
      <c r="AP149" s="124"/>
      <c r="AQ149" s="124"/>
      <c r="AR149" s="124"/>
      <c r="AS149" s="124"/>
      <c r="AT149" s="124"/>
      <c r="AU149" s="124"/>
      <c r="AV149" s="124"/>
      <c r="AW149" s="124"/>
      <c r="AX149" s="124"/>
      <c r="AY149" s="124"/>
      <c r="AZ149" s="124"/>
      <c r="BA149" s="124"/>
      <c r="BB149" s="124"/>
      <c r="BC149" s="124"/>
      <c r="BD149" s="124"/>
      <c r="BE149" s="124"/>
      <c r="BF149" s="124"/>
      <c r="BG149" s="124"/>
      <c r="BH149" s="124"/>
    </row>
    <row r="150" ht="31" customHeight="1" spans="1:60">
      <c r="A150" s="33"/>
      <c r="B150" s="133" t="s">
        <v>61</v>
      </c>
      <c r="C150" s="134"/>
      <c r="D150" s="134"/>
      <c r="E150" s="134"/>
      <c r="F150" s="134"/>
      <c r="G150" s="134"/>
      <c r="H150" s="134"/>
      <c r="I150" s="134"/>
      <c r="J150" s="134"/>
      <c r="K150" s="134"/>
      <c r="L150" s="157"/>
      <c r="M150" s="155">
        <f>IF(M147&lt;&gt;"",SUM(M147:M149),0)</f>
        <v>0</v>
      </c>
      <c r="N150" s="158"/>
      <c r="O150" s="158"/>
      <c r="AP150" s="124"/>
      <c r="AQ150" s="124"/>
      <c r="AR150" s="124"/>
      <c r="AS150" s="124"/>
      <c r="AT150" s="124"/>
      <c r="AU150" s="124"/>
      <c r="AV150" s="124"/>
      <c r="AW150" s="124"/>
      <c r="AX150" s="124"/>
      <c r="AY150" s="124"/>
      <c r="AZ150" s="124"/>
      <c r="BA150" s="124"/>
      <c r="BB150" s="124"/>
      <c r="BC150" s="124"/>
      <c r="BD150" s="124"/>
      <c r="BE150" s="124"/>
      <c r="BF150" s="124"/>
      <c r="BG150" s="124"/>
      <c r="BH150" s="124"/>
    </row>
    <row r="151" ht="31" customHeight="1" spans="1:60">
      <c r="A151" s="33"/>
      <c r="B151" s="129" t="s">
        <v>211</v>
      </c>
      <c r="C151" s="129"/>
      <c r="D151" s="129"/>
      <c r="E151" s="129"/>
      <c r="F151" s="129"/>
      <c r="G151" s="129"/>
      <c r="H151" s="129"/>
      <c r="I151" s="129"/>
      <c r="J151" s="129"/>
      <c r="K151" s="129"/>
      <c r="L151" s="129"/>
      <c r="M151" s="129"/>
      <c r="N151" s="129"/>
      <c r="O151" s="129"/>
      <c r="AP151" s="124"/>
      <c r="AQ151" s="124"/>
      <c r="AR151" s="124"/>
      <c r="AS151" s="124"/>
      <c r="AT151" s="124"/>
      <c r="AU151" s="124"/>
      <c r="AV151" s="124"/>
      <c r="AW151" s="124"/>
      <c r="AX151" s="124"/>
      <c r="AY151" s="124"/>
      <c r="AZ151" s="124"/>
      <c r="BA151" s="124"/>
      <c r="BB151" s="124"/>
      <c r="BC151" s="124"/>
      <c r="BD151" s="124"/>
      <c r="BE151" s="124"/>
      <c r="BF151" s="124"/>
      <c r="BG151" s="124"/>
      <c r="BH151" s="124"/>
    </row>
    <row r="152" ht="31" customHeight="1" spans="1:60">
      <c r="A152" s="33"/>
      <c r="B152" s="58" t="s">
        <v>200</v>
      </c>
      <c r="C152" s="63" t="s">
        <v>169</v>
      </c>
      <c r="D152" s="67"/>
      <c r="E152" s="75" t="s">
        <v>105</v>
      </c>
      <c r="F152" s="58" t="s">
        <v>212</v>
      </c>
      <c r="G152" s="58"/>
      <c r="H152" s="135" t="s">
        <v>213</v>
      </c>
      <c r="I152" s="58" t="s">
        <v>130</v>
      </c>
      <c r="J152" s="58" t="s">
        <v>88</v>
      </c>
      <c r="K152" s="58" t="s">
        <v>89</v>
      </c>
      <c r="L152" s="158" t="s">
        <v>90</v>
      </c>
      <c r="M152" s="58" t="s">
        <v>91</v>
      </c>
      <c r="N152" s="58" t="s">
        <v>39</v>
      </c>
      <c r="O152" s="58" t="s">
        <v>40</v>
      </c>
      <c r="P152" s="121" t="s">
        <v>92</v>
      </c>
      <c r="Q152" s="121" t="s">
        <v>214</v>
      </c>
      <c r="R152" s="121" t="s">
        <v>215</v>
      </c>
      <c r="S152" s="171" t="s">
        <v>216</v>
      </c>
      <c r="T152" s="172"/>
      <c r="U152" s="171" t="s">
        <v>217</v>
      </c>
      <c r="V152" s="172"/>
      <c r="AP152" s="124"/>
      <c r="AQ152" s="124"/>
      <c r="AR152" s="124"/>
      <c r="AS152" s="124"/>
      <c r="AT152" s="124"/>
      <c r="AU152" s="124"/>
      <c r="AV152" s="124"/>
      <c r="AW152" s="124"/>
      <c r="AX152" s="124"/>
      <c r="AY152" s="124"/>
      <c r="AZ152" s="124"/>
      <c r="BA152" s="124"/>
      <c r="BB152" s="124"/>
      <c r="BC152" s="124"/>
      <c r="BD152" s="124"/>
      <c r="BE152" s="124"/>
      <c r="BF152" s="124"/>
      <c r="BG152" s="124"/>
      <c r="BH152" s="124"/>
    </row>
    <row r="153" ht="31" customHeight="1" spans="1:60">
      <c r="A153" s="33"/>
      <c r="B153" s="130"/>
      <c r="C153" s="176"/>
      <c r="D153" s="150"/>
      <c r="E153" s="131"/>
      <c r="F153" s="130"/>
      <c r="G153" s="130"/>
      <c r="H153" s="141"/>
      <c r="I153" s="140"/>
      <c r="J153" s="185"/>
      <c r="K153" s="185"/>
      <c r="L153" s="155" t="str">
        <f>IF(B153&lt;&gt;"",P153,"")</f>
        <v/>
      </c>
      <c r="M153" s="155" t="str">
        <f>IF(B153&lt;&gt;"",SUM(Q153:R153)*L153,"")</f>
        <v/>
      </c>
      <c r="N153" s="30"/>
      <c r="O153" s="30"/>
      <c r="P153" s="30">
        <f>IF(I153="独立完成",1,IF(K153=1,0.6,IF(AND(J153=2,K153=2),0.4,IF(AND(J153&gt;2,K153=2),0.3,IF(AND(J153&gt;2,K153=3),0.2,IF(AND(J153&gt;2,K153&gt;3),0.1,0))))))</f>
        <v>0</v>
      </c>
      <c r="Q153" s="30">
        <f>IF(AND(C153="国家级",E153="实训项目"),30,IF(AND(C153="省级",E153="实训项目"),12,IF(AND(C153="市级",E153="实训项目"),6,IF(AND(C153="校级",E153="实训项目"),2,0))))</f>
        <v>0</v>
      </c>
      <c r="R153" s="30">
        <f>IF(AND(C153="国家级",E153="创新创业项目"),30,IF(AND(C153="省级",E153="创新创业项目"),12,IF(AND(C153="市级",E153="创新创业项目"),6,IF(AND(C153="校级",E153="创新创业项目"),2,0))))</f>
        <v>0</v>
      </c>
      <c r="S153" s="122">
        <f>IF(AND(OR(I153="独立完成",K153=1),OR(C153="国家级",C153="省级",C153="市级")),1,0)</f>
        <v>0</v>
      </c>
      <c r="T153" s="123"/>
      <c r="U153" s="122">
        <f>IF(AND(K153&lt;&gt;"",K153&lt;4),IF(OR(C153="国家级",C153="省级"),1,0),0)</f>
        <v>0</v>
      </c>
      <c r="V153" s="123"/>
      <c r="AP153" s="124"/>
      <c r="AQ153" s="124"/>
      <c r="AR153" s="124"/>
      <c r="AS153" s="124"/>
      <c r="AT153" s="124"/>
      <c r="AU153" s="124"/>
      <c r="AV153" s="124"/>
      <c r="AW153" s="124"/>
      <c r="AX153" s="124"/>
      <c r="AY153" s="124"/>
      <c r="AZ153" s="124"/>
      <c r="BA153" s="124"/>
      <c r="BB153" s="124"/>
      <c r="BC153" s="124"/>
      <c r="BD153" s="124"/>
      <c r="BE153" s="124"/>
      <c r="BF153" s="124"/>
      <c r="BG153" s="124"/>
      <c r="BH153" s="124"/>
    </row>
    <row r="154" ht="31" customHeight="1" spans="1:60">
      <c r="A154" s="33"/>
      <c r="B154" s="130"/>
      <c r="C154" s="176"/>
      <c r="D154" s="150"/>
      <c r="E154" s="131"/>
      <c r="F154" s="130"/>
      <c r="G154" s="130"/>
      <c r="H154" s="150"/>
      <c r="I154" s="140"/>
      <c r="J154" s="185"/>
      <c r="K154" s="185"/>
      <c r="L154" s="155" t="str">
        <f>IF(B154&lt;&gt;"",P154,"")</f>
        <v/>
      </c>
      <c r="M154" s="155" t="str">
        <f>IF(B154&lt;&gt;"",SUM(Q154:R154)*L154,"")</f>
        <v/>
      </c>
      <c r="N154" s="30"/>
      <c r="O154" s="30"/>
      <c r="P154" s="30">
        <f>IF(I154="独立完成",1,IF(K154=1,0.6,IF(AND(J154=2,K154=2),0.4,IF(AND(J154&gt;2,K154=2),0.3,IF(AND(J154&gt;2,K154=3),0.2,IF(AND(J154&gt;2,K154&gt;3),0.1,0))))))</f>
        <v>0</v>
      </c>
      <c r="Q154" s="30">
        <f>IF(AND(C154="国家级",E154="实训项目"),30,IF(AND(C154="省级",E154="实训项目"),12,IF(AND(C154="市级",E154="实训项目"),6,IF(AND(C154="校级",E154="实训项目"),2,0))))</f>
        <v>0</v>
      </c>
      <c r="R154" s="30">
        <f>IF(AND(C154="国家级",E154="创新创业项目"),30,IF(AND(C154="省级",E154="创新创业项目"),12,IF(AND(C154="市级",E154="创新创业项目"),6,IF(AND(C154="校级",E154="创新创业项目"),2,0))))</f>
        <v>0</v>
      </c>
      <c r="S154" s="122">
        <f>IF(AND(OR(I154="独立完成",K154=1),OR(C154="国家级",C154="省级",C154="市级")),1,0)</f>
        <v>0</v>
      </c>
      <c r="T154" s="123"/>
      <c r="U154" s="122">
        <f>IF(AND(K154&lt;&gt;"",K154&lt;4),IF(OR(C154="国家级",C154="省级"),1,0),0)</f>
        <v>0</v>
      </c>
      <c r="V154" s="123"/>
      <c r="AP154" s="124"/>
      <c r="AQ154" s="124"/>
      <c r="AR154" s="124"/>
      <c r="AS154" s="124"/>
      <c r="AT154" s="124"/>
      <c r="AU154" s="124"/>
      <c r="AV154" s="124"/>
      <c r="AW154" s="124"/>
      <c r="AX154" s="124"/>
      <c r="AY154" s="124"/>
      <c r="AZ154" s="124"/>
      <c r="BA154" s="124"/>
      <c r="BB154" s="124"/>
      <c r="BC154" s="124"/>
      <c r="BD154" s="124"/>
      <c r="BE154" s="124"/>
      <c r="BF154" s="124"/>
      <c r="BG154" s="124"/>
      <c r="BH154" s="124"/>
    </row>
    <row r="155" ht="31" customHeight="1" spans="1:60">
      <c r="A155" s="33"/>
      <c r="B155" s="130"/>
      <c r="C155" s="176"/>
      <c r="D155" s="150"/>
      <c r="E155" s="131"/>
      <c r="F155" s="130"/>
      <c r="G155" s="130"/>
      <c r="H155" s="150"/>
      <c r="I155" s="140"/>
      <c r="J155" s="185"/>
      <c r="K155" s="185"/>
      <c r="L155" s="155" t="str">
        <f>IF(B155&lt;&gt;"",P155,"")</f>
        <v/>
      </c>
      <c r="M155" s="155" t="str">
        <f>IF(B155&lt;&gt;"",SUM(Q155:R155)*L155,"")</f>
        <v/>
      </c>
      <c r="N155" s="30"/>
      <c r="O155" s="30"/>
      <c r="P155" s="30">
        <f>IF(I155="独立完成",1,IF(K155=1,0.6,IF(AND(J155=2,K155=2),0.4,IF(AND(J155&gt;2,K155=2),0.3,IF(AND(J155&gt;2,K155=3),0.2,IF(AND(J155&gt;2,K155&gt;3),0.1,0))))))</f>
        <v>0</v>
      </c>
      <c r="Q155" s="30">
        <f>IF(AND(C155="国家级",E155="实训项目"),30,IF(AND(C155="省级",E155="实训项目"),12,IF(AND(C155="市级",E155="实训项目"),6,IF(AND(C155="校级",E155="实训项目"),2,0))))</f>
        <v>0</v>
      </c>
      <c r="R155" s="30">
        <f>IF(AND(C155="国家级",E155="创新创业项目"),30,IF(AND(C155="省级",E155="创新创业项目"),12,IF(AND(C155="市级",E155="创新创业项目"),6,IF(AND(C155="校级",E155="创新创业项目"),2,0))))</f>
        <v>0</v>
      </c>
      <c r="S155" s="122">
        <f>IF(AND(OR(I155="独立完成",K155=1),OR(C155="国家级",C155="省级",C155="市级")),1,0)</f>
        <v>0</v>
      </c>
      <c r="T155" s="123"/>
      <c r="U155" s="122">
        <f>IF(AND(K155&lt;&gt;"",K155&lt;4),IF(OR(C155="国家级",C155="省级"),1,0),0)</f>
        <v>0</v>
      </c>
      <c r="V155" s="123"/>
      <c r="AP155" s="124"/>
      <c r="AQ155" s="124"/>
      <c r="AR155" s="124"/>
      <c r="AS155" s="124"/>
      <c r="AT155" s="124"/>
      <c r="AU155" s="124"/>
      <c r="AV155" s="124"/>
      <c r="AW155" s="124"/>
      <c r="AX155" s="124"/>
      <c r="AY155" s="124"/>
      <c r="AZ155" s="124"/>
      <c r="BA155" s="124"/>
      <c r="BB155" s="124"/>
      <c r="BC155" s="124"/>
      <c r="BD155" s="124"/>
      <c r="BE155" s="124"/>
      <c r="BF155" s="124"/>
      <c r="BG155" s="124"/>
      <c r="BH155" s="124"/>
    </row>
    <row r="156" ht="31" customHeight="1" spans="1:60">
      <c r="A156" s="33"/>
      <c r="B156" s="133" t="s">
        <v>61</v>
      </c>
      <c r="C156" s="134"/>
      <c r="D156" s="134"/>
      <c r="E156" s="134"/>
      <c r="F156" s="134"/>
      <c r="G156" s="134"/>
      <c r="H156" s="134"/>
      <c r="I156" s="134"/>
      <c r="J156" s="134"/>
      <c r="K156" s="134"/>
      <c r="L156" s="157"/>
      <c r="M156" s="155">
        <f>IF(M153&lt;&gt;"",SUM(M153:M155),0)</f>
        <v>0</v>
      </c>
      <c r="N156" s="158"/>
      <c r="O156" s="158"/>
      <c r="AP156" s="124"/>
      <c r="AQ156" s="124"/>
      <c r="AR156" s="124"/>
      <c r="AS156" s="124"/>
      <c r="AT156" s="124"/>
      <c r="AU156" s="124"/>
      <c r="AV156" s="124"/>
      <c r="AW156" s="124"/>
      <c r="AX156" s="124"/>
      <c r="AY156" s="124"/>
      <c r="AZ156" s="124"/>
      <c r="BA156" s="124"/>
      <c r="BB156" s="124"/>
      <c r="BC156" s="124"/>
      <c r="BD156" s="124"/>
      <c r="BE156" s="124"/>
      <c r="BF156" s="124"/>
      <c r="BG156" s="124"/>
      <c r="BH156" s="124"/>
    </row>
    <row r="157" ht="31" customHeight="1" spans="1:60">
      <c r="A157" s="33"/>
      <c r="B157" s="129" t="s">
        <v>218</v>
      </c>
      <c r="C157" s="129"/>
      <c r="D157" s="129"/>
      <c r="E157" s="129"/>
      <c r="F157" s="129"/>
      <c r="G157" s="129"/>
      <c r="H157" s="129"/>
      <c r="I157" s="129"/>
      <c r="J157" s="129"/>
      <c r="K157" s="129"/>
      <c r="L157" s="129"/>
      <c r="M157" s="129"/>
      <c r="N157" s="129"/>
      <c r="O157" s="129"/>
      <c r="AP157" s="124"/>
      <c r="AQ157" s="124"/>
      <c r="AR157" s="124"/>
      <c r="AS157" s="124"/>
      <c r="AT157" s="124"/>
      <c r="AU157" s="124"/>
      <c r="AV157" s="124"/>
      <c r="AW157" s="124"/>
      <c r="AX157" s="124"/>
      <c r="AY157" s="124"/>
      <c r="AZ157" s="124"/>
      <c r="BA157" s="124"/>
      <c r="BB157" s="124"/>
      <c r="BC157" s="124"/>
      <c r="BD157" s="124"/>
      <c r="BE157" s="124"/>
      <c r="BF157" s="124"/>
      <c r="BG157" s="124"/>
      <c r="BH157" s="124"/>
    </row>
    <row r="158" ht="31" customHeight="1" spans="1:60">
      <c r="A158" s="33"/>
      <c r="B158" s="58" t="s">
        <v>200</v>
      </c>
      <c r="C158" s="63" t="s">
        <v>169</v>
      </c>
      <c r="D158" s="67"/>
      <c r="E158" s="75" t="s">
        <v>212</v>
      </c>
      <c r="F158" s="120"/>
      <c r="G158" s="75" t="s">
        <v>213</v>
      </c>
      <c r="H158" s="120"/>
      <c r="I158" s="58" t="s">
        <v>130</v>
      </c>
      <c r="J158" s="58" t="s">
        <v>88</v>
      </c>
      <c r="K158" s="58" t="s">
        <v>89</v>
      </c>
      <c r="L158" s="158" t="s">
        <v>90</v>
      </c>
      <c r="M158" s="58" t="s">
        <v>91</v>
      </c>
      <c r="N158" s="58" t="s">
        <v>39</v>
      </c>
      <c r="O158" s="58" t="s">
        <v>40</v>
      </c>
      <c r="P158" s="121" t="s">
        <v>92</v>
      </c>
      <c r="Q158" s="121" t="s">
        <v>132</v>
      </c>
      <c r="R158" s="121" t="s">
        <v>166</v>
      </c>
      <c r="S158" s="121"/>
      <c r="T158" s="121"/>
      <c r="U158" s="121"/>
      <c r="V158" s="30"/>
      <c r="AP158" s="124"/>
      <c r="AQ158" s="124"/>
      <c r="AR158" s="124"/>
      <c r="AS158" s="124"/>
      <c r="AT158" s="124"/>
      <c r="AU158" s="124"/>
      <c r="AV158" s="124"/>
      <c r="AW158" s="124"/>
      <c r="AX158" s="124"/>
      <c r="AY158" s="124"/>
      <c r="AZ158" s="124"/>
      <c r="BA158" s="124"/>
      <c r="BB158" s="124"/>
      <c r="BC158" s="124"/>
      <c r="BD158" s="124"/>
      <c r="BE158" s="124"/>
      <c r="BF158" s="124"/>
      <c r="BG158" s="124"/>
      <c r="BH158" s="124"/>
    </row>
    <row r="159" ht="31" customHeight="1" spans="1:60">
      <c r="A159" s="33"/>
      <c r="B159" s="130"/>
      <c r="C159" s="176"/>
      <c r="D159" s="150"/>
      <c r="E159" s="136"/>
      <c r="F159" s="138"/>
      <c r="G159" s="176"/>
      <c r="H159" s="150"/>
      <c r="I159" s="140"/>
      <c r="J159" s="185"/>
      <c r="K159" s="185"/>
      <c r="L159" s="155" t="str">
        <f t="shared" ref="L159:L166" si="10">IF(B159&lt;&gt;"",P159,"")</f>
        <v/>
      </c>
      <c r="M159" s="155" t="str">
        <f>IF(B159&lt;&gt;"",Q159*L159,"")</f>
        <v/>
      </c>
      <c r="N159" s="30"/>
      <c r="O159" s="30"/>
      <c r="P159" s="30">
        <f>IF(I159="独立完成",1,IF(K159=1,0.6,IF(AND(J159=2,K159=2),0.4,IF(AND(J159&gt;2,K159=2),0.3,IF(AND(J159&gt;2,K159=3),0.2,IF(AND(J159&gt;2,K159&gt;3),0.1,0))))))</f>
        <v>0</v>
      </c>
      <c r="Q159" s="30">
        <f>IF(C159="国家级",30,IF(C159="省级",12,IF(C159="市级",6,IF(C159="校级",2,0))))</f>
        <v>0</v>
      </c>
      <c r="R159" s="30">
        <f>IF(AND(OR(I159="独立完成",K159=1),OR(C159="国家级",C159="省级",C159="市级")),1,0)</f>
        <v>0</v>
      </c>
      <c r="S159" s="30"/>
      <c r="T159" s="30"/>
      <c r="U159" s="30"/>
      <c r="V159" s="30"/>
      <c r="AP159" s="124"/>
      <c r="AQ159" s="124"/>
      <c r="AR159" s="124"/>
      <c r="AS159" s="124"/>
      <c r="AT159" s="124"/>
      <c r="AU159" s="124"/>
      <c r="AV159" s="124"/>
      <c r="AW159" s="124"/>
      <c r="AX159" s="124"/>
      <c r="AY159" s="124"/>
      <c r="AZ159" s="124"/>
      <c r="BA159" s="124"/>
      <c r="BB159" s="124"/>
      <c r="BC159" s="124"/>
      <c r="BD159" s="124"/>
      <c r="BE159" s="124"/>
      <c r="BF159" s="124"/>
      <c r="BG159" s="124"/>
      <c r="BH159" s="124"/>
    </row>
    <row r="160" ht="31" customHeight="1" spans="1:60">
      <c r="A160" s="33"/>
      <c r="B160" s="130"/>
      <c r="C160" s="176"/>
      <c r="D160" s="150"/>
      <c r="E160" s="136"/>
      <c r="F160" s="138"/>
      <c r="G160" s="176"/>
      <c r="H160" s="150"/>
      <c r="I160" s="140"/>
      <c r="J160" s="185"/>
      <c r="K160" s="185"/>
      <c r="L160" s="155" t="str">
        <f t="shared" si="10"/>
        <v/>
      </c>
      <c r="M160" s="155" t="str">
        <f>IF(B160&lt;&gt;"",Q160*L160,"")</f>
        <v/>
      </c>
      <c r="N160" s="30"/>
      <c r="O160" s="30"/>
      <c r="P160" s="30">
        <f>IF(I160="独立完成",1,IF(K160=1,0.6,IF(AND(J160=2,K160=2),0.4,IF(AND(J160&gt;2,K160=2),0.3,IF(AND(J160&gt;2,K160=3),0.2,IF(AND(J160&gt;2,K160&gt;3),0.1,0))))))</f>
        <v>0</v>
      </c>
      <c r="Q160" s="30">
        <f>IF(C160="国家级",30,IF(C160="省级",12,IF(C160="市级",6,IF(C160="校级",2,0))))</f>
        <v>0</v>
      </c>
      <c r="R160" s="30">
        <f>IF(AND(OR(I160="独立完成",K160=1),OR(C160="国家级",C160="省级",C160="市级")),1,0)</f>
        <v>0</v>
      </c>
      <c r="S160" s="30"/>
      <c r="T160" s="30"/>
      <c r="U160" s="30"/>
      <c r="V160" s="30"/>
      <c r="AP160" s="124"/>
      <c r="AQ160" s="124"/>
      <c r="AR160" s="124"/>
      <c r="AS160" s="124"/>
      <c r="AT160" s="124"/>
      <c r="AU160" s="124"/>
      <c r="AV160" s="124"/>
      <c r="AW160" s="124"/>
      <c r="AX160" s="124"/>
      <c r="AY160" s="124"/>
      <c r="AZ160" s="124"/>
      <c r="BA160" s="124"/>
      <c r="BB160" s="124"/>
      <c r="BC160" s="124"/>
      <c r="BD160" s="124"/>
      <c r="BE160" s="124"/>
      <c r="BF160" s="124"/>
      <c r="BG160" s="124"/>
      <c r="BH160" s="124"/>
    </row>
    <row r="161" ht="31" customHeight="1" spans="1:60">
      <c r="A161" s="33"/>
      <c r="B161" s="133" t="s">
        <v>61</v>
      </c>
      <c r="C161" s="134"/>
      <c r="D161" s="134"/>
      <c r="E161" s="134"/>
      <c r="F161" s="134"/>
      <c r="G161" s="134"/>
      <c r="H161" s="134"/>
      <c r="I161" s="134"/>
      <c r="J161" s="134"/>
      <c r="K161" s="134"/>
      <c r="L161" s="157"/>
      <c r="M161" s="155">
        <f>IF(M159&lt;&gt;"",SUM(M159:M160),0)</f>
        <v>0</v>
      </c>
      <c r="N161" s="158"/>
      <c r="O161" s="158"/>
      <c r="AP161" s="124"/>
      <c r="AQ161" s="124"/>
      <c r="AR161" s="124"/>
      <c r="AS161" s="124"/>
      <c r="AT161" s="124"/>
      <c r="AU161" s="124"/>
      <c r="AV161" s="124"/>
      <c r="AW161" s="124"/>
      <c r="AX161" s="124"/>
      <c r="AY161" s="124"/>
      <c r="AZ161" s="124"/>
      <c r="BA161" s="124"/>
      <c r="BB161" s="124"/>
      <c r="BC161" s="124"/>
      <c r="BD161" s="124"/>
      <c r="BE161" s="124"/>
      <c r="BF161" s="124"/>
      <c r="BG161" s="124"/>
      <c r="BH161" s="124"/>
    </row>
    <row r="162" ht="31" customHeight="1" spans="1:60">
      <c r="A162" s="33"/>
      <c r="B162" s="129" t="s">
        <v>219</v>
      </c>
      <c r="C162" s="129"/>
      <c r="D162" s="129"/>
      <c r="E162" s="129"/>
      <c r="F162" s="129"/>
      <c r="G162" s="129"/>
      <c r="H162" s="129"/>
      <c r="I162" s="129"/>
      <c r="J162" s="129"/>
      <c r="K162" s="129"/>
      <c r="L162" s="129"/>
      <c r="M162" s="129"/>
      <c r="N162" s="129"/>
      <c r="O162" s="129"/>
      <c r="AP162" s="124"/>
      <c r="AQ162" s="124"/>
      <c r="AR162" s="124"/>
      <c r="AS162" s="124"/>
      <c r="AT162" s="124"/>
      <c r="AU162" s="124"/>
      <c r="AV162" s="124"/>
      <c r="AW162" s="124"/>
      <c r="AX162" s="124"/>
      <c r="AY162" s="124"/>
      <c r="AZ162" s="124"/>
      <c r="BA162" s="124"/>
      <c r="BB162" s="124"/>
      <c r="BC162" s="124"/>
      <c r="BD162" s="124"/>
      <c r="BE162" s="124"/>
      <c r="BF162" s="124"/>
      <c r="BG162" s="124"/>
      <c r="BH162" s="124"/>
    </row>
    <row r="163" ht="31" customHeight="1" spans="1:60">
      <c r="A163" s="33"/>
      <c r="B163" s="58" t="s">
        <v>105</v>
      </c>
      <c r="C163" s="63" t="s">
        <v>169</v>
      </c>
      <c r="D163" s="67"/>
      <c r="E163" s="58" t="s">
        <v>220</v>
      </c>
      <c r="F163" s="135"/>
      <c r="G163" s="75" t="s">
        <v>221</v>
      </c>
      <c r="H163" s="120"/>
      <c r="I163" s="58" t="s">
        <v>130</v>
      </c>
      <c r="J163" s="58" t="s">
        <v>88</v>
      </c>
      <c r="K163" s="58" t="s">
        <v>89</v>
      </c>
      <c r="L163" s="158" t="s">
        <v>90</v>
      </c>
      <c r="M163" s="58" t="s">
        <v>91</v>
      </c>
      <c r="N163" s="58" t="s">
        <v>39</v>
      </c>
      <c r="O163" s="58" t="s">
        <v>40</v>
      </c>
      <c r="P163" s="121" t="s">
        <v>92</v>
      </c>
      <c r="Q163" s="121" t="s">
        <v>222</v>
      </c>
      <c r="R163" s="121" t="s">
        <v>166</v>
      </c>
      <c r="S163" s="121"/>
      <c r="T163" s="121"/>
      <c r="U163" s="121"/>
      <c r="V163" s="30"/>
      <c r="AP163" s="124"/>
      <c r="AQ163" s="124"/>
      <c r="AR163" s="124"/>
      <c r="AS163" s="124"/>
      <c r="AT163" s="124"/>
      <c r="AU163" s="124"/>
      <c r="AV163" s="124"/>
      <c r="AW163" s="124"/>
      <c r="AX163" s="124"/>
      <c r="AY163" s="124"/>
      <c r="AZ163" s="124"/>
      <c r="BA163" s="124"/>
      <c r="BB163" s="124"/>
      <c r="BC163" s="124"/>
      <c r="BD163" s="124"/>
      <c r="BE163" s="124"/>
      <c r="BF163" s="124"/>
      <c r="BG163" s="124"/>
      <c r="BH163" s="124"/>
    </row>
    <row r="164" ht="31" customHeight="1" spans="1:60">
      <c r="A164" s="33"/>
      <c r="B164" s="130"/>
      <c r="C164" s="176"/>
      <c r="D164" s="150"/>
      <c r="E164" s="136"/>
      <c r="F164" s="138"/>
      <c r="G164" s="176"/>
      <c r="H164" s="150"/>
      <c r="I164" s="140"/>
      <c r="J164" s="185"/>
      <c r="K164" s="185"/>
      <c r="L164" s="155" t="str">
        <f t="shared" si="10"/>
        <v/>
      </c>
      <c r="M164" s="155" t="str">
        <f t="shared" ref="M164:M166" si="11">IF(B164&lt;&gt;"",SUM(Q164:R164)*L164,"")</f>
        <v/>
      </c>
      <c r="N164" s="30"/>
      <c r="O164" s="30"/>
      <c r="P164" s="30">
        <f>IF(I164="独立完成",1,IF(K164=1,0.8,IF(K164=2,0.2,IF(K164&gt;=3,0.1,0))))</f>
        <v>0</v>
      </c>
      <c r="Q164" s="30">
        <f>IF(C164="国家级",30,IF(C164="省级",12,IF(C164="市级",6,IF(C164="校级",2,0))))</f>
        <v>0</v>
      </c>
      <c r="R164" s="30">
        <f>IF(OR(I164="独立完成",K164=1),1,0)</f>
        <v>0</v>
      </c>
      <c r="S164" s="30"/>
      <c r="T164" s="30"/>
      <c r="U164" s="30"/>
      <c r="V164" s="30"/>
      <c r="AP164" s="124"/>
      <c r="AQ164" s="124"/>
      <c r="AR164" s="124"/>
      <c r="AS164" s="124"/>
      <c r="AT164" s="124"/>
      <c r="AU164" s="124"/>
      <c r="AV164" s="124"/>
      <c r="AW164" s="124"/>
      <c r="AX164" s="124"/>
      <c r="AY164" s="124"/>
      <c r="AZ164" s="124"/>
      <c r="BA164" s="124"/>
      <c r="BB164" s="124"/>
      <c r="BC164" s="124"/>
      <c r="BD164" s="124"/>
      <c r="BE164" s="124"/>
      <c r="BF164" s="124"/>
      <c r="BG164" s="124"/>
      <c r="BH164" s="124"/>
    </row>
    <row r="165" ht="31" customHeight="1" spans="1:60">
      <c r="A165" s="33"/>
      <c r="B165" s="130"/>
      <c r="C165" s="176"/>
      <c r="D165" s="150"/>
      <c r="E165" s="136"/>
      <c r="F165" s="138"/>
      <c r="G165" s="176"/>
      <c r="H165" s="150"/>
      <c r="I165" s="140"/>
      <c r="J165" s="185"/>
      <c r="K165" s="185"/>
      <c r="L165" s="155" t="str">
        <f t="shared" si="10"/>
        <v/>
      </c>
      <c r="M165" s="155" t="str">
        <f t="shared" si="11"/>
        <v/>
      </c>
      <c r="N165" s="30"/>
      <c r="O165" s="30"/>
      <c r="P165" s="30">
        <f>IF(I165="独立完成",1,IF(K165=1,0.8,IF(K165=2,0.2,IF(K165&gt;=3,0.1,0))))</f>
        <v>0</v>
      </c>
      <c r="Q165" s="30">
        <f>IF(C165="国家级",30,IF(C165="省级",12,IF(C165="市级",6,IF(C165="校级",2,0))))</f>
        <v>0</v>
      </c>
      <c r="R165" s="30">
        <f>IF(OR(I165="独立完成",K165=1),1,0)</f>
        <v>0</v>
      </c>
      <c r="S165" s="30"/>
      <c r="T165" s="30"/>
      <c r="U165" s="30"/>
      <c r="V165" s="30"/>
      <c r="AP165" s="124"/>
      <c r="AQ165" s="124"/>
      <c r="AR165" s="124"/>
      <c r="AS165" s="124"/>
      <c r="AT165" s="124"/>
      <c r="AU165" s="124"/>
      <c r="AV165" s="124"/>
      <c r="AW165" s="124"/>
      <c r="AX165" s="124"/>
      <c r="AY165" s="124"/>
      <c r="AZ165" s="124"/>
      <c r="BA165" s="124"/>
      <c r="BB165" s="124"/>
      <c r="BC165" s="124"/>
      <c r="BD165" s="124"/>
      <c r="BE165" s="124"/>
      <c r="BF165" s="124"/>
      <c r="BG165" s="124"/>
      <c r="BH165" s="124"/>
    </row>
    <row r="166" ht="31" customHeight="1" spans="1:60">
      <c r="A166" s="33"/>
      <c r="B166" s="130"/>
      <c r="C166" s="176"/>
      <c r="D166" s="150"/>
      <c r="E166" s="136"/>
      <c r="F166" s="138"/>
      <c r="G166" s="176"/>
      <c r="H166" s="150"/>
      <c r="I166" s="140"/>
      <c r="J166" s="185"/>
      <c r="K166" s="185"/>
      <c r="L166" s="155" t="str">
        <f t="shared" si="10"/>
        <v/>
      </c>
      <c r="M166" s="155" t="str">
        <f t="shared" si="11"/>
        <v/>
      </c>
      <c r="N166" s="30"/>
      <c r="O166" s="30"/>
      <c r="P166" s="30">
        <f>IF(I166="独立完成",1,IF(K166=1,0.8,IF(K166=2,0.2,IF(K166&gt;=3,0.1,0))))</f>
        <v>0</v>
      </c>
      <c r="Q166" s="30">
        <f>IF(C166="国家级",30,IF(C166="省级",12,IF(C166="市级",6,IF(C166="校级",2,0))))</f>
        <v>0</v>
      </c>
      <c r="R166" s="30">
        <f>IF(OR(I166="独立完成",K166=1),1,0)</f>
        <v>0</v>
      </c>
      <c r="S166" s="30"/>
      <c r="T166" s="30"/>
      <c r="U166" s="30"/>
      <c r="V166" s="30"/>
      <c r="AP166" s="124"/>
      <c r="AQ166" s="124"/>
      <c r="AR166" s="124"/>
      <c r="AS166" s="124"/>
      <c r="AT166" s="124"/>
      <c r="AU166" s="124"/>
      <c r="AV166" s="124"/>
      <c r="AW166" s="124"/>
      <c r="AX166" s="124"/>
      <c r="AY166" s="124"/>
      <c r="AZ166" s="124"/>
      <c r="BA166" s="124"/>
      <c r="BB166" s="124"/>
      <c r="BC166" s="124"/>
      <c r="BD166" s="124"/>
      <c r="BE166" s="124"/>
      <c r="BF166" s="124"/>
      <c r="BG166" s="124"/>
      <c r="BH166" s="124"/>
    </row>
    <row r="167" ht="31" customHeight="1" spans="1:60">
      <c r="A167" s="33"/>
      <c r="B167" s="133" t="s">
        <v>61</v>
      </c>
      <c r="C167" s="134"/>
      <c r="D167" s="134"/>
      <c r="E167" s="134"/>
      <c r="F167" s="134"/>
      <c r="G167" s="134"/>
      <c r="H167" s="134"/>
      <c r="I167" s="134"/>
      <c r="J167" s="134"/>
      <c r="K167" s="134"/>
      <c r="L167" s="157"/>
      <c r="M167" s="155">
        <f>IF(M164&lt;&gt;"",SUM(M164:M166),0)</f>
        <v>0</v>
      </c>
      <c r="N167" s="158"/>
      <c r="O167" s="158"/>
      <c r="AP167" s="124"/>
      <c r="AQ167" s="124"/>
      <c r="AR167" s="124"/>
      <c r="AS167" s="124"/>
      <c r="AT167" s="124"/>
      <c r="AU167" s="124"/>
      <c r="AV167" s="124"/>
      <c r="AW167" s="124"/>
      <c r="AX167" s="124"/>
      <c r="AY167" s="124"/>
      <c r="AZ167" s="124"/>
      <c r="BA167" s="124"/>
      <c r="BB167" s="124"/>
      <c r="BC167" s="124"/>
      <c r="BD167" s="124"/>
      <c r="BE167" s="124"/>
      <c r="BF167" s="124"/>
      <c r="BG167" s="124"/>
      <c r="BH167" s="124"/>
    </row>
    <row r="168" ht="31" customHeight="1" spans="1:60">
      <c r="A168" s="33"/>
      <c r="B168" s="129" t="s">
        <v>223</v>
      </c>
      <c r="C168" s="129"/>
      <c r="D168" s="129"/>
      <c r="E168" s="129"/>
      <c r="F168" s="129"/>
      <c r="G168" s="129"/>
      <c r="H168" s="129"/>
      <c r="I168" s="129"/>
      <c r="J168" s="129"/>
      <c r="K168" s="129"/>
      <c r="L168" s="129"/>
      <c r="M168" s="129"/>
      <c r="N168" s="129"/>
      <c r="O168" s="129"/>
      <c r="AP168" s="124"/>
      <c r="AQ168" s="124"/>
      <c r="AR168" s="124"/>
      <c r="AS168" s="124"/>
      <c r="AT168" s="124"/>
      <c r="AU168" s="124"/>
      <c r="AV168" s="124"/>
      <c r="AW168" s="124"/>
      <c r="AX168" s="124"/>
      <c r="AY168" s="124"/>
      <c r="AZ168" s="124"/>
      <c r="BA168" s="124"/>
      <c r="BB168" s="124"/>
      <c r="BC168" s="124"/>
      <c r="BD168" s="124"/>
      <c r="BE168" s="124"/>
      <c r="BF168" s="124"/>
      <c r="BG168" s="124"/>
      <c r="BH168" s="124"/>
    </row>
    <row r="169" ht="31" customHeight="1" spans="1:60">
      <c r="A169" s="33"/>
      <c r="B169" s="58" t="s">
        <v>144</v>
      </c>
      <c r="C169" s="58" t="s">
        <v>187</v>
      </c>
      <c r="D169" s="63" t="s">
        <v>128</v>
      </c>
      <c r="E169" s="76"/>
      <c r="F169" s="77"/>
      <c r="G169" s="58" t="s">
        <v>170</v>
      </c>
      <c r="H169" s="58" t="s">
        <v>188</v>
      </c>
      <c r="I169" s="135" t="s">
        <v>130</v>
      </c>
      <c r="J169" s="58" t="s">
        <v>88</v>
      </c>
      <c r="K169" s="58" t="s">
        <v>89</v>
      </c>
      <c r="L169" s="58" t="s">
        <v>90</v>
      </c>
      <c r="M169" s="58" t="s">
        <v>91</v>
      </c>
      <c r="N169" s="58" t="s">
        <v>39</v>
      </c>
      <c r="O169" s="58" t="s">
        <v>40</v>
      </c>
      <c r="P169" s="121" t="s">
        <v>148</v>
      </c>
      <c r="Q169" s="121" t="s">
        <v>146</v>
      </c>
      <c r="R169" s="121" t="s">
        <v>147</v>
      </c>
      <c r="S169" s="121" t="s">
        <v>224</v>
      </c>
      <c r="T169" s="121" t="s">
        <v>150</v>
      </c>
      <c r="U169" s="121" t="s">
        <v>149</v>
      </c>
      <c r="V169" s="121" t="s">
        <v>92</v>
      </c>
      <c r="W169" s="121" t="s">
        <v>166</v>
      </c>
      <c r="X169" s="30"/>
      <c r="Y169" s="30"/>
      <c r="Z169" s="30"/>
      <c r="AA169" s="30"/>
      <c r="AB169" s="30"/>
      <c r="AC169" s="30"/>
      <c r="AP169" s="124"/>
      <c r="AQ169" s="124"/>
      <c r="AR169" s="124"/>
      <c r="AS169" s="124"/>
      <c r="AT169" s="124"/>
      <c r="AU169" s="124"/>
      <c r="AV169" s="124"/>
      <c r="AW169" s="124"/>
      <c r="AX169" s="124"/>
      <c r="AY169" s="124"/>
      <c r="AZ169" s="124"/>
      <c r="BA169" s="124"/>
      <c r="BB169" s="124"/>
      <c r="BC169" s="124"/>
      <c r="BD169" s="124"/>
      <c r="BE169" s="124"/>
      <c r="BF169" s="124"/>
      <c r="BG169" s="124"/>
      <c r="BH169" s="124"/>
    </row>
    <row r="170" ht="31" customHeight="1" spans="1:60">
      <c r="A170" s="33"/>
      <c r="B170" s="130"/>
      <c r="C170" s="130"/>
      <c r="D170" s="183"/>
      <c r="E170" s="177"/>
      <c r="F170" s="150"/>
      <c r="G170" s="182"/>
      <c r="H170" s="182"/>
      <c r="I170" s="131"/>
      <c r="J170" s="154"/>
      <c r="K170" s="154"/>
      <c r="L170" s="167" t="str">
        <f>IF(B170&lt;&gt;"",V170,"")</f>
        <v/>
      </c>
      <c r="M170" s="167" t="str">
        <f>IF(B170&lt;&gt;"",SUM(P170:U170)*L170,"")</f>
        <v/>
      </c>
      <c r="N170" s="156"/>
      <c r="O170" s="156"/>
      <c r="P170" s="30">
        <f>IF(AND(B170="国家级",OR(C170="一等奖",C170="金奖")),25,IF(AND(B170="国家级",OR(C170="二等奖",C170="银奖")),20,IF(AND(B170="国家级",OR(C170="三等奖",C170="铜奖",C170="无等级")),15,0)))</f>
        <v>0</v>
      </c>
      <c r="Q170" s="30">
        <f>IF(AND(B170="市级",OR(C170="一等奖",C170="金奖")),6,IF(AND(B170="市级",OR(C170="二等奖",C170="银奖")),4,IF(AND(B170="市级",OR(C170="三等奖",C170="铜奖",C170="无等级")),2,0)))</f>
        <v>0</v>
      </c>
      <c r="R170" s="30">
        <f>IF(AND(B170="校级",OR(C170="一等奖",C170="金奖")),3,IF(AND(B170="校级",OR(C170="二等奖",C170="银奖")),2,IF(AND(B170="校级",OR(C170="三等奖",C170="铜奖",C170="无等级")),1,0)))</f>
        <v>0</v>
      </c>
      <c r="S170" s="30">
        <f>IF(AND(B170="世界技能大赛",OR(C170="一等奖",C170="金奖")),50,IF(AND(B170="世界技能大赛",OR(C170="二等奖",C170="银奖")),40,IF(AND(B170="世界技能大赛",OR(C170="三等奖",C170="铜奖",C170="无等级")),30,0)))</f>
        <v>0</v>
      </c>
      <c r="T170" s="30">
        <f>IF(AND(B170="省级",OR(C170="一等奖",C170="金奖")),12,IF(AND(B170="省级",OR(C170="二等奖",C170="银奖")),9,IF(AND(B170="省级",OR(C170="三等奖",C170="铜奖",C170="无等级")),6,0)))</f>
        <v>0</v>
      </c>
      <c r="U170" s="187">
        <f>IF(AND(B170="国家开放大学",OR(C170="一等奖",C170="金奖")),12,IF(AND(B170="国家开放大学",OR(C170="二等奖",C170="银奖")),9,IF(AND(B170="国家开放大学",OR(C170="三等奖",C170="铜奖",C170="无等级")),6,0)))</f>
        <v>0</v>
      </c>
      <c r="V170" s="156">
        <f>IF(I170="独立完成",1,IF(K170=1,0.7,IF(K170=2,0.3,IF(K170&gt;2,0.1,0))))</f>
        <v>0</v>
      </c>
      <c r="W170" s="187">
        <f>IF(OR(I170="独立完成",AND(K170&lt;&gt;"",K170&lt;4)),IF(OR(B170="世界技能大赛",B170="国家级",B170="省级",B170="国家开放大学",AND(B170="市级",OR(C170="一等奖",C170="金奖",C170="二等奖",C170="银奖"))),1,0),0)</f>
        <v>0</v>
      </c>
      <c r="X170" s="156"/>
      <c r="Y170" s="156"/>
      <c r="Z170" s="156"/>
      <c r="AA170" s="156"/>
      <c r="AB170" s="156"/>
      <c r="AC170" s="156"/>
      <c r="AD170" s="156"/>
      <c r="AE170" s="156"/>
      <c r="AP170" s="124"/>
      <c r="AQ170" s="124"/>
      <c r="AR170" s="124"/>
      <c r="AS170" s="124"/>
      <c r="AT170" s="124"/>
      <c r="AU170" s="124"/>
      <c r="AV170" s="124"/>
      <c r="AW170" s="124"/>
      <c r="AX170" s="124"/>
      <c r="AY170" s="124"/>
      <c r="AZ170" s="124"/>
      <c r="BA170" s="124"/>
      <c r="BB170" s="124"/>
      <c r="BC170" s="124"/>
      <c r="BD170" s="124"/>
      <c r="BE170" s="124"/>
      <c r="BF170" s="124"/>
      <c r="BG170" s="124"/>
      <c r="BH170" s="124"/>
    </row>
    <row r="171" ht="31" customHeight="1" spans="1:60">
      <c r="A171" s="33"/>
      <c r="B171" s="130"/>
      <c r="C171" s="130"/>
      <c r="D171" s="183"/>
      <c r="E171" s="177"/>
      <c r="F171" s="150"/>
      <c r="G171" s="182"/>
      <c r="H171" s="182"/>
      <c r="I171" s="131"/>
      <c r="J171" s="154"/>
      <c r="K171" s="154"/>
      <c r="L171" s="167" t="str">
        <f>IF(B171&lt;&gt;"",V171,"")</f>
        <v/>
      </c>
      <c r="M171" s="167" t="str">
        <f>IF(B171&lt;&gt;"",SUM(P171:U171)*L171,"")</f>
        <v/>
      </c>
      <c r="N171" s="156"/>
      <c r="O171" s="156"/>
      <c r="P171" s="30">
        <f>IF(AND(B171="国家级",OR(C171="一等奖",C171="金奖")),25,IF(AND(B171="国家级",OR(C171="二等奖",C171="银奖")),20,IF(AND(B171="国家级",OR(C171="三等奖",C171="铜奖",C171="无等级")),15,0)))</f>
        <v>0</v>
      </c>
      <c r="Q171" s="30">
        <f>IF(AND(B171="市级",OR(C171="一等奖",C171="金奖")),6,IF(AND(B171="市级",OR(C171="二等奖",C171="银奖")),4,IF(AND(B171="市级",OR(C171="三等奖",C171="铜奖",C171="无等级")),2,0)))</f>
        <v>0</v>
      </c>
      <c r="R171" s="30">
        <f>IF(AND(B171="校级",OR(C171="一等奖",C171="金奖")),3,IF(AND(B171="校级",OR(C171="二等奖",C171="银奖")),2,IF(AND(B171="校级",OR(C171="三等奖",C171="铜奖",C171="无等级")),1,0)))</f>
        <v>0</v>
      </c>
      <c r="S171" s="30">
        <f>IF(AND(B171="世界技能大赛",OR(C171="一等奖",C171="金奖")),50,IF(AND(B171="世界技能大赛",OR(C171="二等奖",C171="银奖")),40,IF(AND(B171="世界技能大赛",OR(C171="三等奖",C171="铜奖",C171="无等级")),30,0)))</f>
        <v>0</v>
      </c>
      <c r="T171" s="30">
        <f>IF(AND(B171="省级",OR(C171="一等奖",C171="金奖")),12,IF(AND(B171="省级",OR(C171="二等奖",C171="银奖")),9,IF(AND(B171="省级",OR(C171="三等奖",C171="铜奖",C171="无等级")),6,0)))</f>
        <v>0</v>
      </c>
      <c r="U171" s="187">
        <f>IF(AND(B171="国家开放大学",OR(C171="一等奖",C171="金奖")),12,IF(AND(B171="国家开放大学",OR(C171="二等奖",C171="银奖")),9,IF(AND(B171="国家开放大学",OR(C171="三等奖",C171="铜奖",C171="无等级")),6,0)))</f>
        <v>0</v>
      </c>
      <c r="V171" s="156">
        <f>IF(I171="独立完成",1,IF(K171=1,0.7,IF(K171=2,0.3,IF(K171&gt;2,0.1,0))))</f>
        <v>0</v>
      </c>
      <c r="W171" s="187">
        <f>IF(OR(I171="独立完成",AND(K171&lt;&gt;"",K171&lt;4)),IF(OR(B171="世界技能大赛",B171="国家级",B171="省级",B171="国家开放大学",AND(B171="市级",OR(C171="一等奖",C171="金奖",C171="二等奖",C171="银奖"))),1,0),0)</f>
        <v>0</v>
      </c>
      <c r="X171" s="156"/>
      <c r="Y171" s="156"/>
      <c r="Z171" s="156"/>
      <c r="AA171" s="156"/>
      <c r="AB171" s="156"/>
      <c r="AC171" s="156"/>
      <c r="AD171" s="156"/>
      <c r="AE171" s="156"/>
      <c r="AP171" s="124"/>
      <c r="AQ171" s="124"/>
      <c r="AR171" s="124"/>
      <c r="AS171" s="124"/>
      <c r="AT171" s="124"/>
      <c r="AU171" s="124"/>
      <c r="AV171" s="124"/>
      <c r="AW171" s="124"/>
      <c r="AX171" s="124"/>
      <c r="AY171" s="124"/>
      <c r="AZ171" s="124"/>
      <c r="BA171" s="124"/>
      <c r="BB171" s="124"/>
      <c r="BC171" s="124"/>
      <c r="BD171" s="124"/>
      <c r="BE171" s="124"/>
      <c r="BF171" s="124"/>
      <c r="BG171" s="124"/>
      <c r="BH171" s="124"/>
    </row>
    <row r="172" ht="31" customHeight="1" spans="1:60">
      <c r="A172" s="33"/>
      <c r="B172" s="130"/>
      <c r="C172" s="130"/>
      <c r="D172" s="183"/>
      <c r="E172" s="177"/>
      <c r="F172" s="150"/>
      <c r="G172" s="182"/>
      <c r="H172" s="182"/>
      <c r="I172" s="131"/>
      <c r="J172" s="154"/>
      <c r="K172" s="154"/>
      <c r="L172" s="167" t="str">
        <f>IF(B172&lt;&gt;"",V172,"")</f>
        <v/>
      </c>
      <c r="M172" s="167" t="str">
        <f>IF(B172&lt;&gt;"",SUM(P172:U172)*L172,"")</f>
        <v/>
      </c>
      <c r="N172" s="156"/>
      <c r="O172" s="156"/>
      <c r="P172" s="30">
        <f>IF(AND(B172="国家级",OR(C172="一等奖",C172="金奖")),25,IF(AND(B172="国家级",OR(C172="二等奖",C172="银奖")),20,IF(AND(B172="国家级",OR(C172="三等奖",C172="铜奖",C172="无等级")),15,0)))</f>
        <v>0</v>
      </c>
      <c r="Q172" s="30">
        <f>IF(AND(B172="市级",OR(C172="一等奖",C172="金奖")),6,IF(AND(B172="市级",OR(C172="二等奖",C172="银奖")),4,IF(AND(B172="市级",OR(C172="三等奖",C172="铜奖",C172="无等级")),2,0)))</f>
        <v>0</v>
      </c>
      <c r="R172" s="30">
        <f>IF(AND(B172="校级",OR(C172="一等奖",C172="金奖")),3,IF(AND(B172="校级",OR(C172="二等奖",C172="银奖")),2,IF(AND(B172="校级",OR(C172="三等奖",C172="铜奖",C172="无等级")),1,0)))</f>
        <v>0</v>
      </c>
      <c r="S172" s="30">
        <f>IF(AND(B172="世界技能大赛",OR(C172="一等奖",C172="金奖")),50,IF(AND(B172="世界技能大赛",OR(C172="二等奖",C172="银奖")),40,IF(AND(B172="世界技能大赛",OR(C172="三等奖",C172="铜奖",C172="无等级")),30,0)))</f>
        <v>0</v>
      </c>
      <c r="T172" s="30">
        <f>IF(AND(B172="省级",OR(C172="一等奖",C172="金奖")),12,IF(AND(B172="省级",OR(C172="二等奖",C172="银奖")),9,IF(AND(B172="省级",OR(C172="三等奖",C172="铜奖",C172="无等级")),6,0)))</f>
        <v>0</v>
      </c>
      <c r="U172" s="187">
        <f>IF(AND(B172="国家开放大学",OR(C172="一等奖",C172="金奖")),12,IF(AND(B172="国家开放大学",OR(C172="二等奖",C172="银奖")),9,IF(AND(B172="国家开放大学",OR(C172="三等奖",C172="铜奖",C172="无等级")),6,0)))</f>
        <v>0</v>
      </c>
      <c r="V172" s="156">
        <f>IF(I172="独立完成",1,IF(K172=1,0.7,IF(K172=2,0.3,IF(K172&gt;2,0.1,0))))</f>
        <v>0</v>
      </c>
      <c r="W172" s="187">
        <f>IF(OR(I172="独立完成",AND(K172&lt;&gt;"",K172&lt;4)),IF(OR(B172="世界技能大赛",B172="国家级",B172="省级",B172="国家开放大学",AND(B172="市级",OR(C172="一等奖",C172="金奖",C172="二等奖",C172="银奖"))),1,0),0)</f>
        <v>0</v>
      </c>
      <c r="X172" s="156"/>
      <c r="Y172" s="156"/>
      <c r="Z172" s="156"/>
      <c r="AA172" s="156"/>
      <c r="AB172" s="156"/>
      <c r="AC172" s="156"/>
      <c r="AD172" s="156"/>
      <c r="AE172" s="156"/>
      <c r="AP172" s="124"/>
      <c r="AQ172" s="124"/>
      <c r="AR172" s="124"/>
      <c r="AS172" s="124"/>
      <c r="AT172" s="124"/>
      <c r="AU172" s="124"/>
      <c r="AV172" s="124"/>
      <c r="AW172" s="124"/>
      <c r="AX172" s="124"/>
      <c r="AY172" s="124"/>
      <c r="AZ172" s="124"/>
      <c r="BA172" s="124"/>
      <c r="BB172" s="124"/>
      <c r="BC172" s="124"/>
      <c r="BD172" s="124"/>
      <c r="BE172" s="124"/>
      <c r="BF172" s="124"/>
      <c r="BG172" s="124"/>
      <c r="BH172" s="124"/>
    </row>
    <row r="173" ht="31" customHeight="1" spans="1:60">
      <c r="A173" s="33"/>
      <c r="B173" s="130"/>
      <c r="C173" s="130"/>
      <c r="D173" s="183"/>
      <c r="E173" s="177"/>
      <c r="F173" s="150"/>
      <c r="G173" s="182"/>
      <c r="H173" s="182"/>
      <c r="I173" s="131"/>
      <c r="J173" s="154"/>
      <c r="K173" s="154"/>
      <c r="L173" s="167" t="str">
        <f>IF(B173&lt;&gt;"",V173,"")</f>
        <v/>
      </c>
      <c r="M173" s="167" t="str">
        <f>IF(B173&lt;&gt;"",SUM(P173:U173)*L173,"")</f>
        <v/>
      </c>
      <c r="N173" s="156"/>
      <c r="O173" s="156"/>
      <c r="P173" s="30">
        <f>IF(AND(B173="国家级",OR(C173="一等奖",C173="金奖")),25,IF(AND(B173="国家级",OR(C173="二等奖",C173="银奖")),20,IF(AND(B173="国家级",OR(C173="三等奖",C173="铜奖",C173="无等级")),15,0)))</f>
        <v>0</v>
      </c>
      <c r="Q173" s="30">
        <f>IF(AND(B173="市级",OR(C173="一等奖",C173="金奖")),6,IF(AND(B173="市级",OR(C173="二等奖",C173="银奖")),4,IF(AND(B173="市级",OR(C173="三等奖",C173="铜奖",C173="无等级")),2,0)))</f>
        <v>0</v>
      </c>
      <c r="R173" s="30">
        <f>IF(AND(B173="校级",OR(C173="一等奖",C173="金奖")),3,IF(AND(B173="校级",OR(C173="二等奖",C173="银奖")),2,IF(AND(B173="校级",OR(C173="三等奖",C173="铜奖",C173="无等级")),1,0)))</f>
        <v>0</v>
      </c>
      <c r="S173" s="30">
        <f>IF(AND(B173="世界技能大赛",OR(C173="一等奖",C173="金奖")),50,IF(AND(B173="世界技能大赛",OR(C173="二等奖",C173="银奖")),40,IF(AND(B173="世界技能大赛",OR(C173="三等奖",C173="铜奖",C173="无等级")),30,0)))</f>
        <v>0</v>
      </c>
      <c r="T173" s="30">
        <f>IF(AND(B173="省级",OR(C173="一等奖",C173="金奖")),12,IF(AND(B173="省级",OR(C173="二等奖",C173="银奖")),9,IF(AND(B173="省级",OR(C173="三等奖",C173="铜奖",C173="无等级")),6,0)))</f>
        <v>0</v>
      </c>
      <c r="U173" s="187">
        <f>IF(AND(B173="国家开放大学",OR(C173="一等奖",C173="金奖")),12,IF(AND(B173="国家开放大学",OR(C173="二等奖",C173="银奖")),9,IF(AND(B173="国家开放大学",OR(C173="三等奖",C173="铜奖",C173="无等级")),6,0)))</f>
        <v>0</v>
      </c>
      <c r="V173" s="156">
        <f>IF(I173="独立完成",1,IF(K173=1,0.7,IF(K173=2,0.3,IF(K173&gt;2,0.1,0))))</f>
        <v>0</v>
      </c>
      <c r="W173" s="187">
        <f>IF(OR(I173="独立完成",AND(K173&lt;&gt;"",K173&lt;4)),IF(OR(B173="世界技能大赛",B173="国家级",B173="省级",B173="国家开放大学",AND(B173="市级",OR(C173="一等奖",C173="金奖",C173="二等奖",C173="银奖"))),1,0),0)</f>
        <v>0</v>
      </c>
      <c r="X173" s="156"/>
      <c r="Y173" s="156"/>
      <c r="Z173" s="156"/>
      <c r="AA173" s="156"/>
      <c r="AB173" s="156"/>
      <c r="AC173" s="156"/>
      <c r="AD173" s="156"/>
      <c r="AE173" s="156"/>
      <c r="AP173" s="124"/>
      <c r="AQ173" s="124"/>
      <c r="AR173" s="124"/>
      <c r="AS173" s="124"/>
      <c r="AT173" s="124"/>
      <c r="AU173" s="124"/>
      <c r="AV173" s="124"/>
      <c r="AW173" s="124"/>
      <c r="AX173" s="124"/>
      <c r="AY173" s="124"/>
      <c r="AZ173" s="124"/>
      <c r="BA173" s="124"/>
      <c r="BB173" s="124"/>
      <c r="BC173" s="124"/>
      <c r="BD173" s="124"/>
      <c r="BE173" s="124"/>
      <c r="BF173" s="124"/>
      <c r="BG173" s="124"/>
      <c r="BH173" s="124"/>
    </row>
    <row r="174" ht="31" customHeight="1" spans="1:60">
      <c r="A174" s="33"/>
      <c r="B174" s="133" t="s">
        <v>61</v>
      </c>
      <c r="C174" s="134"/>
      <c r="D174" s="134"/>
      <c r="E174" s="134"/>
      <c r="F174" s="134"/>
      <c r="G174" s="134"/>
      <c r="H174" s="134"/>
      <c r="I174" s="134"/>
      <c r="J174" s="134"/>
      <c r="K174" s="134"/>
      <c r="L174" s="157"/>
      <c r="M174" s="167">
        <f>IF(M170&lt;&gt;"",SUM(M170:M173),0)</f>
        <v>0</v>
      </c>
      <c r="N174" s="168"/>
      <c r="O174" s="168"/>
      <c r="AP174" s="124"/>
      <c r="AQ174" s="124"/>
      <c r="AR174" s="124"/>
      <c r="AS174" s="124"/>
      <c r="AT174" s="124"/>
      <c r="AU174" s="124"/>
      <c r="AV174" s="124"/>
      <c r="AW174" s="124"/>
      <c r="AX174" s="124"/>
      <c r="AY174" s="124"/>
      <c r="AZ174" s="124"/>
      <c r="BA174" s="124"/>
      <c r="BB174" s="124"/>
      <c r="BC174" s="124"/>
      <c r="BD174" s="124"/>
      <c r="BE174" s="124"/>
      <c r="BF174" s="124"/>
      <c r="BG174" s="124"/>
      <c r="BH174" s="124"/>
    </row>
    <row r="175" ht="31" customHeight="1" spans="1:60">
      <c r="A175" s="33"/>
      <c r="B175" s="129" t="s">
        <v>225</v>
      </c>
      <c r="C175" s="129"/>
      <c r="D175" s="129"/>
      <c r="E175" s="129"/>
      <c r="F175" s="129"/>
      <c r="G175" s="129"/>
      <c r="H175" s="129"/>
      <c r="I175" s="129"/>
      <c r="J175" s="129"/>
      <c r="K175" s="129"/>
      <c r="L175" s="129"/>
      <c r="M175" s="129"/>
      <c r="N175" s="129"/>
      <c r="O175" s="129"/>
      <c r="AP175" s="124"/>
      <c r="AQ175" s="124"/>
      <c r="AR175" s="124"/>
      <c r="AS175" s="124"/>
      <c r="AT175" s="124"/>
      <c r="AU175" s="124"/>
      <c r="AV175" s="124"/>
      <c r="AW175" s="124"/>
      <c r="AX175" s="124"/>
      <c r="AY175" s="124"/>
      <c r="AZ175" s="124"/>
      <c r="BA175" s="124"/>
      <c r="BB175" s="124"/>
      <c r="BC175" s="124"/>
      <c r="BD175" s="124"/>
      <c r="BE175" s="124"/>
      <c r="BF175" s="124"/>
      <c r="BG175" s="124"/>
      <c r="BH175" s="124"/>
    </row>
    <row r="176" ht="31" customHeight="1" spans="1:60">
      <c r="A176" s="33"/>
      <c r="B176" s="58" t="s">
        <v>105</v>
      </c>
      <c r="C176" s="184" t="s">
        <v>169</v>
      </c>
      <c r="D176" s="76" t="s">
        <v>212</v>
      </c>
      <c r="E176" s="76"/>
      <c r="F176" s="77"/>
      <c r="G176" s="58" t="s">
        <v>213</v>
      </c>
      <c r="H176" s="58" t="s">
        <v>226</v>
      </c>
      <c r="I176" s="58" t="s">
        <v>130</v>
      </c>
      <c r="J176" s="58" t="s">
        <v>88</v>
      </c>
      <c r="K176" s="58" t="s">
        <v>89</v>
      </c>
      <c r="L176" s="158" t="s">
        <v>90</v>
      </c>
      <c r="M176" s="58" t="s">
        <v>91</v>
      </c>
      <c r="N176" s="58" t="s">
        <v>39</v>
      </c>
      <c r="O176" s="58" t="s">
        <v>40</v>
      </c>
      <c r="P176" s="121" t="s">
        <v>92</v>
      </c>
      <c r="Q176" s="121" t="s">
        <v>132</v>
      </c>
      <c r="R176" s="121" t="s">
        <v>166</v>
      </c>
      <c r="S176" s="121"/>
      <c r="T176" s="121"/>
      <c r="U176" s="121"/>
      <c r="V176" s="30"/>
      <c r="AP176" s="124"/>
      <c r="AQ176" s="124"/>
      <c r="AR176" s="124"/>
      <c r="AS176" s="124"/>
      <c r="AT176" s="124"/>
      <c r="AU176" s="124"/>
      <c r="AV176" s="124"/>
      <c r="AW176" s="124"/>
      <c r="AX176" s="124"/>
      <c r="AY176" s="124"/>
      <c r="AZ176" s="124"/>
      <c r="BA176" s="124"/>
      <c r="BB176" s="124"/>
      <c r="BC176" s="124"/>
      <c r="BD176" s="124"/>
      <c r="BE176" s="124"/>
      <c r="BF176" s="124"/>
      <c r="BG176" s="124"/>
      <c r="BH176" s="124"/>
    </row>
    <row r="177" ht="31" customHeight="1" spans="1:60">
      <c r="A177" s="33"/>
      <c r="B177" s="130"/>
      <c r="C177" s="130"/>
      <c r="D177" s="177"/>
      <c r="E177" s="177"/>
      <c r="F177" s="150"/>
      <c r="G177" s="141"/>
      <c r="H177" s="141"/>
      <c r="I177" s="140"/>
      <c r="J177" s="185"/>
      <c r="K177" s="185"/>
      <c r="L177" s="155" t="str">
        <f>IF(B177&lt;&gt;"",P177,"")</f>
        <v/>
      </c>
      <c r="M177" s="155" t="str">
        <f>IF(B177&lt;&gt;"",Q177*L177,"")</f>
        <v/>
      </c>
      <c r="N177" s="30"/>
      <c r="O177" s="30"/>
      <c r="P177" s="30">
        <f>IF(I177="独立完成",1,IF(K177=1,0.6,IF(AND(J177=2,K177=2),0.4,IF(AND(J177&gt;2,K177=2),0.3,IF(AND(J177&gt;2,K177=3),0.2,IF(AND(J177&gt;2,K177&gt;3),0.1,0))))))</f>
        <v>0</v>
      </c>
      <c r="Q177" s="30">
        <f>IF(C177="国家级",30,IF(C177="省级",10,IF(C177="市级",0,IF(C177="校级",0,0))))</f>
        <v>0</v>
      </c>
      <c r="R177" s="30">
        <f>IF(OR(I177="独立完成",AND(K177&lt;&gt;"",K177&lt;4)),IF(OR(C177="国家级",C177="省级"),1,0),0)</f>
        <v>0</v>
      </c>
      <c r="S177" s="30"/>
      <c r="T177" s="30"/>
      <c r="U177" s="30"/>
      <c r="V177" s="30"/>
      <c r="AP177" s="124"/>
      <c r="AQ177" s="124"/>
      <c r="AR177" s="124"/>
      <c r="AS177" s="124"/>
      <c r="AT177" s="124"/>
      <c r="AU177" s="124"/>
      <c r="AV177" s="124"/>
      <c r="AW177" s="124"/>
      <c r="AX177" s="124"/>
      <c r="AY177" s="124"/>
      <c r="AZ177" s="124"/>
      <c r="BA177" s="124"/>
      <c r="BB177" s="124"/>
      <c r="BC177" s="124"/>
      <c r="BD177" s="124"/>
      <c r="BE177" s="124"/>
      <c r="BF177" s="124"/>
      <c r="BG177" s="124"/>
      <c r="BH177" s="124"/>
    </row>
    <row r="178" ht="31" customHeight="1" spans="1:60">
      <c r="A178" s="33"/>
      <c r="B178" s="130"/>
      <c r="C178" s="130"/>
      <c r="D178" s="177"/>
      <c r="E178" s="177"/>
      <c r="F178" s="150"/>
      <c r="G178" s="141"/>
      <c r="H178" s="141"/>
      <c r="I178" s="140"/>
      <c r="J178" s="185"/>
      <c r="K178" s="185"/>
      <c r="L178" s="155" t="str">
        <f>IF(B178&lt;&gt;"",P178,"")</f>
        <v/>
      </c>
      <c r="M178" s="155" t="str">
        <f>IF(B178&lt;&gt;"",Q178*L178,"")</f>
        <v/>
      </c>
      <c r="N178" s="30"/>
      <c r="O178" s="30"/>
      <c r="P178" s="30">
        <f>IF(I178="独立完成",1,IF(K178=1,0.6,IF(AND(J178=2,K178=2),0.4,IF(AND(J178&gt;2,K178=2),0.3,IF(AND(J178&gt;2,K178=3),0.2,IF(AND(J178&gt;2,K178&gt;3),0.1,0))))))</f>
        <v>0</v>
      </c>
      <c r="Q178" s="30">
        <f>IF(C178="国家级",30,IF(C178="省级",10,IF(C178="市级",0,IF(C178="校级",0,0))))</f>
        <v>0</v>
      </c>
      <c r="R178" s="30">
        <f>IF(OR(I178="独立完成",AND(K178&lt;&gt;"",K178&lt;4)),IF(OR(C178="国家级",C178="省级"),1,0),0)</f>
        <v>0</v>
      </c>
      <c r="S178" s="30"/>
      <c r="T178" s="30"/>
      <c r="U178" s="30"/>
      <c r="V178" s="30"/>
      <c r="AP178" s="124"/>
      <c r="AQ178" s="124"/>
      <c r="AR178" s="124"/>
      <c r="AS178" s="124"/>
      <c r="AT178" s="124"/>
      <c r="AU178" s="124"/>
      <c r="AV178" s="124"/>
      <c r="AW178" s="124"/>
      <c r="AX178" s="124"/>
      <c r="AY178" s="124"/>
      <c r="AZ178" s="124"/>
      <c r="BA178" s="124"/>
      <c r="BB178" s="124"/>
      <c r="BC178" s="124"/>
      <c r="BD178" s="124"/>
      <c r="BE178" s="124"/>
      <c r="BF178" s="124"/>
      <c r="BG178" s="124"/>
      <c r="BH178" s="124"/>
    </row>
    <row r="179" ht="31" customHeight="1" spans="1:60">
      <c r="A179" s="33"/>
      <c r="B179" s="133" t="s">
        <v>61</v>
      </c>
      <c r="C179" s="134"/>
      <c r="D179" s="134"/>
      <c r="E179" s="134"/>
      <c r="F179" s="134"/>
      <c r="G179" s="134"/>
      <c r="H179" s="134"/>
      <c r="I179" s="134"/>
      <c r="J179" s="134"/>
      <c r="K179" s="134"/>
      <c r="L179" s="157"/>
      <c r="M179" s="167">
        <f>IF(M177&lt;&gt;"",SUM(M177:M178),0)</f>
        <v>0</v>
      </c>
      <c r="N179" s="168"/>
      <c r="O179" s="168"/>
      <c r="AP179" s="124"/>
      <c r="AQ179" s="124"/>
      <c r="AR179" s="124"/>
      <c r="AS179" s="124"/>
      <c r="AT179" s="124"/>
      <c r="AU179" s="124"/>
      <c r="AV179" s="124"/>
      <c r="AW179" s="124"/>
      <c r="AX179" s="124"/>
      <c r="AY179" s="124"/>
      <c r="AZ179" s="124"/>
      <c r="BA179" s="124"/>
      <c r="BB179" s="124"/>
      <c r="BC179" s="124"/>
      <c r="BD179" s="124"/>
      <c r="BE179" s="124"/>
      <c r="BF179" s="124"/>
      <c r="BG179" s="124"/>
      <c r="BH179" s="124"/>
    </row>
    <row r="180" ht="31" customHeight="1" spans="1:60">
      <c r="A180" s="33"/>
      <c r="B180" s="129" t="s">
        <v>227</v>
      </c>
      <c r="C180" s="129"/>
      <c r="D180" s="129"/>
      <c r="E180" s="129"/>
      <c r="F180" s="129"/>
      <c r="G180" s="129"/>
      <c r="H180" s="129"/>
      <c r="I180" s="129"/>
      <c r="J180" s="129"/>
      <c r="K180" s="129"/>
      <c r="L180" s="129"/>
      <c r="M180" s="129"/>
      <c r="N180" s="129"/>
      <c r="O180" s="129"/>
      <c r="AP180" s="124"/>
      <c r="AQ180" s="124"/>
      <c r="AR180" s="124"/>
      <c r="AS180" s="124"/>
      <c r="AT180" s="124"/>
      <c r="AU180" s="124"/>
      <c r="AV180" s="124"/>
      <c r="AW180" s="124"/>
      <c r="AX180" s="124"/>
      <c r="AY180" s="124"/>
      <c r="AZ180" s="124"/>
      <c r="BA180" s="124"/>
      <c r="BB180" s="124"/>
      <c r="BC180" s="124"/>
      <c r="BD180" s="124"/>
      <c r="BE180" s="124"/>
      <c r="BF180" s="124"/>
      <c r="BG180" s="124"/>
      <c r="BH180" s="124"/>
    </row>
    <row r="181" ht="31" customHeight="1" spans="1:60">
      <c r="A181" s="33"/>
      <c r="B181" s="58" t="s">
        <v>165</v>
      </c>
      <c r="C181" s="63" t="s">
        <v>169</v>
      </c>
      <c r="D181" s="76"/>
      <c r="E181" s="75" t="s">
        <v>228</v>
      </c>
      <c r="F181" s="75" t="s">
        <v>229</v>
      </c>
      <c r="G181" s="76"/>
      <c r="H181" s="77"/>
      <c r="I181" s="75" t="s">
        <v>230</v>
      </c>
      <c r="J181" s="76"/>
      <c r="K181" s="77"/>
      <c r="L181" s="158" t="s">
        <v>90</v>
      </c>
      <c r="M181" s="58" t="s">
        <v>91</v>
      </c>
      <c r="N181" s="58" t="s">
        <v>39</v>
      </c>
      <c r="O181" s="58" t="s">
        <v>40</v>
      </c>
      <c r="P181" s="121" t="s">
        <v>92</v>
      </c>
      <c r="Q181" s="121" t="s">
        <v>146</v>
      </c>
      <c r="R181" s="121" t="s">
        <v>147</v>
      </c>
      <c r="S181" s="121" t="s">
        <v>148</v>
      </c>
      <c r="T181" s="121" t="s">
        <v>150</v>
      </c>
      <c r="U181" s="171" t="s">
        <v>166</v>
      </c>
      <c r="V181" s="172"/>
      <c r="AP181" s="124"/>
      <c r="AQ181" s="124"/>
      <c r="AR181" s="124"/>
      <c r="AS181" s="124"/>
      <c r="AT181" s="124"/>
      <c r="AU181" s="124"/>
      <c r="AV181" s="124"/>
      <c r="AW181" s="124"/>
      <c r="AX181" s="124"/>
      <c r="AY181" s="124"/>
      <c r="AZ181" s="124"/>
      <c r="BA181" s="124"/>
      <c r="BB181" s="124"/>
      <c r="BC181" s="124"/>
      <c r="BD181" s="124"/>
      <c r="BE181" s="124"/>
      <c r="BF181" s="124"/>
      <c r="BG181" s="124"/>
      <c r="BH181" s="124"/>
    </row>
    <row r="182" ht="31" customHeight="1" spans="1:60">
      <c r="A182" s="33"/>
      <c r="B182" s="130"/>
      <c r="C182" s="176"/>
      <c r="D182" s="150"/>
      <c r="E182" s="131"/>
      <c r="F182" s="176"/>
      <c r="G182" s="177"/>
      <c r="H182" s="150"/>
      <c r="I182" s="136"/>
      <c r="J182" s="137"/>
      <c r="K182" s="138"/>
      <c r="L182" s="155" t="str">
        <f>IF(B182&lt;&gt;"",1,"")</f>
        <v/>
      </c>
      <c r="M182" s="155" t="str">
        <f>IF(B182&lt;&gt;"",SUM(Q182:T182)*L182,"")</f>
        <v/>
      </c>
      <c r="N182" s="30"/>
      <c r="O182" s="30"/>
      <c r="P182" s="30">
        <f>IF(I182="独立完成",1,IF(K182=1,0.6,IF(K182=2,0.4,IF(K182=3,0.2,IF(K182=4,0.1,IF(K182&gt;4,0.05,0))))))</f>
        <v>0</v>
      </c>
      <c r="Q182" s="30">
        <f>IF(OR(C182="市级",C182="小型企业",C182="市级行业协会"),3,0)</f>
        <v>0</v>
      </c>
      <c r="R182" s="30">
        <f>IF(OR(C182="校级",C182="微型企业"),1,0)</f>
        <v>0</v>
      </c>
      <c r="S182" s="30">
        <f>IF(OR(C182="国家级",C182="大型企业",C182="国家级行业协会"),10,0)</f>
        <v>0</v>
      </c>
      <c r="T182" s="30">
        <f>IF(OR(C182="省级",C182="中型企业",C182="省级行业协会"),6,0)</f>
        <v>0</v>
      </c>
      <c r="U182" s="122">
        <f>IF(OR(C182="",C182="微型企业",C182="校级",C182="市级"),0,1)</f>
        <v>0</v>
      </c>
      <c r="V182" s="123"/>
      <c r="AP182" s="124"/>
      <c r="AQ182" s="124"/>
      <c r="AR182" s="124"/>
      <c r="AS182" s="124"/>
      <c r="AT182" s="124"/>
      <c r="AU182" s="124"/>
      <c r="AV182" s="124"/>
      <c r="AW182" s="124"/>
      <c r="AX182" s="124"/>
      <c r="AY182" s="124"/>
      <c r="AZ182" s="124"/>
      <c r="BA182" s="124"/>
      <c r="BB182" s="124"/>
      <c r="BC182" s="124"/>
      <c r="BD182" s="124"/>
      <c r="BE182" s="124"/>
      <c r="BF182" s="124"/>
      <c r="BG182" s="124"/>
      <c r="BH182" s="124"/>
    </row>
    <row r="183" ht="31" customHeight="1" spans="1:60">
      <c r="A183" s="33"/>
      <c r="B183" s="130"/>
      <c r="C183" s="176"/>
      <c r="D183" s="150"/>
      <c r="E183" s="131"/>
      <c r="F183" s="176"/>
      <c r="G183" s="177"/>
      <c r="H183" s="150"/>
      <c r="I183" s="136"/>
      <c r="J183" s="137"/>
      <c r="K183" s="138"/>
      <c r="L183" s="155" t="str">
        <f>IF(B183&lt;&gt;"",1,"")</f>
        <v/>
      </c>
      <c r="M183" s="155" t="str">
        <f>IF(B183&lt;&gt;"",SUM(Q183:T183)*L183,"")</f>
        <v/>
      </c>
      <c r="N183" s="30"/>
      <c r="O183" s="30"/>
      <c r="P183" s="30">
        <f>IF(I183="独立完成",1,IF(K183=1,0.6,IF(K183=2,0.4,IF(K183=3,0.2,IF(K183=4,0.1,IF(K183&gt;4,0.05,0))))))</f>
        <v>0</v>
      </c>
      <c r="Q183" s="30">
        <f>IF(OR(C183="市级",C183="小型企业",C183="市级行业协会"),3,0)</f>
        <v>0</v>
      </c>
      <c r="R183" s="30">
        <f>IF(OR(C183="校级",C183="微型企业"),1,0)</f>
        <v>0</v>
      </c>
      <c r="S183" s="30">
        <f>IF(OR(C183="国家级",C183="大型企业",C183="国家级行业协会"),10,0)</f>
        <v>0</v>
      </c>
      <c r="T183" s="30">
        <f>IF(OR(C183="省级",C183="中型企业",C183="省级行业协会"),6,0)</f>
        <v>0</v>
      </c>
      <c r="U183" s="122">
        <f>IF(OR(C183="",C183="微型企业",C183="校级",C183="市级"),0,1)</f>
        <v>0</v>
      </c>
      <c r="V183" s="123"/>
      <c r="AP183" s="124"/>
      <c r="AQ183" s="124"/>
      <c r="AR183" s="124"/>
      <c r="AS183" s="124"/>
      <c r="AT183" s="124"/>
      <c r="AU183" s="124"/>
      <c r="AV183" s="124"/>
      <c r="AW183" s="124"/>
      <c r="AX183" s="124"/>
      <c r="AY183" s="124"/>
      <c r="AZ183" s="124"/>
      <c r="BA183" s="124"/>
      <c r="BB183" s="124"/>
      <c r="BC183" s="124"/>
      <c r="BD183" s="124"/>
      <c r="BE183" s="124"/>
      <c r="BF183" s="124"/>
      <c r="BG183" s="124"/>
      <c r="BH183" s="124"/>
    </row>
    <row r="184" ht="31" customHeight="1" spans="1:60">
      <c r="A184" s="33"/>
      <c r="B184" s="133" t="s">
        <v>61</v>
      </c>
      <c r="C184" s="134"/>
      <c r="D184" s="134"/>
      <c r="E184" s="134"/>
      <c r="F184" s="134"/>
      <c r="G184" s="134"/>
      <c r="H184" s="134"/>
      <c r="I184" s="134"/>
      <c r="J184" s="134"/>
      <c r="K184" s="134"/>
      <c r="L184" s="157"/>
      <c r="M184" s="155">
        <f>IF(M182&lt;&gt;"",SUM(M182:M183),0)</f>
        <v>0</v>
      </c>
      <c r="N184" s="158"/>
      <c r="O184" s="158"/>
      <c r="AP184" s="124"/>
      <c r="AQ184" s="124"/>
      <c r="AR184" s="124"/>
      <c r="AS184" s="124"/>
      <c r="AT184" s="124"/>
      <c r="AU184" s="124"/>
      <c r="AV184" s="124"/>
      <c r="AW184" s="124"/>
      <c r="AX184" s="124"/>
      <c r="AY184" s="124"/>
      <c r="AZ184" s="124"/>
      <c r="BA184" s="124"/>
      <c r="BB184" s="124"/>
      <c r="BC184" s="124"/>
      <c r="BD184" s="124"/>
      <c r="BE184" s="124"/>
      <c r="BF184" s="124"/>
      <c r="BG184" s="124"/>
      <c r="BH184" s="124"/>
    </row>
    <row r="185" ht="31" customHeight="1" spans="1:60">
      <c r="A185" s="33"/>
      <c r="B185" s="74" t="s">
        <v>231</v>
      </c>
      <c r="C185" s="74"/>
      <c r="D185" s="74"/>
      <c r="E185" s="74"/>
      <c r="F185" s="74"/>
      <c r="G185" s="74"/>
      <c r="H185" s="74"/>
      <c r="I185" s="74"/>
      <c r="J185" s="74"/>
      <c r="K185" s="74"/>
      <c r="L185" s="74"/>
      <c r="M185" s="74"/>
      <c r="N185" s="74"/>
      <c r="O185" s="74"/>
      <c r="AP185" s="124"/>
      <c r="AQ185" s="124"/>
      <c r="AR185" s="124"/>
      <c r="AS185" s="124"/>
      <c r="AT185" s="124"/>
      <c r="AU185" s="124"/>
      <c r="AV185" s="124"/>
      <c r="AW185" s="124"/>
      <c r="AX185" s="124"/>
      <c r="AY185" s="124"/>
      <c r="AZ185" s="124"/>
      <c r="BA185" s="124"/>
      <c r="BB185" s="124"/>
      <c r="BC185" s="124"/>
      <c r="BD185" s="124"/>
      <c r="BE185" s="124"/>
      <c r="BF185" s="124"/>
      <c r="BG185" s="124"/>
      <c r="BH185" s="124"/>
    </row>
    <row r="186" ht="31" customHeight="1" spans="1:60">
      <c r="A186" s="33"/>
      <c r="B186" s="58" t="s">
        <v>65</v>
      </c>
      <c r="C186" s="58" t="s">
        <v>168</v>
      </c>
      <c r="D186" s="58"/>
      <c r="E186" s="58" t="s">
        <v>169</v>
      </c>
      <c r="F186" s="58" t="s">
        <v>128</v>
      </c>
      <c r="G186" s="58"/>
      <c r="H186" s="135" t="s">
        <v>170</v>
      </c>
      <c r="I186" s="135" t="s">
        <v>130</v>
      </c>
      <c r="J186" s="58" t="s">
        <v>88</v>
      </c>
      <c r="K186" s="58" t="s">
        <v>89</v>
      </c>
      <c r="L186" s="58" t="s">
        <v>90</v>
      </c>
      <c r="M186" s="58" t="s">
        <v>91</v>
      </c>
      <c r="N186" s="58" t="s">
        <v>39</v>
      </c>
      <c r="O186" s="58" t="s">
        <v>40</v>
      </c>
      <c r="P186" s="121" t="s">
        <v>232</v>
      </c>
      <c r="Q186" s="121" t="s">
        <v>233</v>
      </c>
      <c r="R186" s="121" t="s">
        <v>234</v>
      </c>
      <c r="S186" s="121" t="s">
        <v>235</v>
      </c>
      <c r="T186" s="121" t="s">
        <v>236</v>
      </c>
      <c r="U186" s="121" t="s">
        <v>237</v>
      </c>
      <c r="V186" s="121" t="s">
        <v>238</v>
      </c>
      <c r="W186" s="121" t="s">
        <v>239</v>
      </c>
      <c r="X186" s="121" t="s">
        <v>240</v>
      </c>
      <c r="Y186" s="121" t="s">
        <v>241</v>
      </c>
      <c r="Z186" s="121" t="s">
        <v>242</v>
      </c>
      <c r="AA186" s="121" t="s">
        <v>243</v>
      </c>
      <c r="AB186" s="121" t="s">
        <v>244</v>
      </c>
      <c r="AC186" s="121" t="s">
        <v>245</v>
      </c>
      <c r="AD186" s="121" t="s">
        <v>246</v>
      </c>
      <c r="AE186" s="121" t="s">
        <v>247</v>
      </c>
      <c r="AF186" s="121" t="s">
        <v>248</v>
      </c>
      <c r="AG186" s="121" t="s">
        <v>249</v>
      </c>
      <c r="AH186" s="121" t="s">
        <v>250</v>
      </c>
      <c r="AI186" s="121" t="s">
        <v>251</v>
      </c>
      <c r="AJ186" s="171" t="s">
        <v>252</v>
      </c>
      <c r="AP186" s="124"/>
      <c r="AQ186" s="124"/>
      <c r="AR186" s="124"/>
      <c r="AS186" s="124"/>
      <c r="AT186" s="124"/>
      <c r="AU186" s="124"/>
      <c r="AV186" s="124"/>
      <c r="AW186" s="124"/>
      <c r="AX186" s="124"/>
      <c r="AY186" s="124"/>
      <c r="AZ186" s="124"/>
      <c r="BA186" s="124"/>
      <c r="BB186" s="124"/>
      <c r="BC186" s="124"/>
      <c r="BD186" s="124"/>
      <c r="BE186" s="124"/>
      <c r="BF186" s="124"/>
      <c r="BG186" s="124"/>
      <c r="BH186" s="124"/>
    </row>
    <row r="187" ht="31" customHeight="1" spans="1:60">
      <c r="A187" s="33"/>
      <c r="B187" s="130"/>
      <c r="C187" s="130"/>
      <c r="D187" s="130"/>
      <c r="E187" s="130"/>
      <c r="F187" s="131"/>
      <c r="G187" s="131"/>
      <c r="H187" s="182"/>
      <c r="I187" s="131"/>
      <c r="J187" s="154"/>
      <c r="K187" s="154"/>
      <c r="L187" s="167" t="str">
        <f>IF(B187&lt;&gt;"",IF(OR(B187="文化建设项目",B187="产教融合项目"),0,IF(OR(B187="个人荣誉",C187="社团指导教师"),1,W187+X187)),"")</f>
        <v/>
      </c>
      <c r="M187" s="167" t="str">
        <f>IF(B187&lt;&gt;"",(SUM(P187:V187)+SUM(Y187:AJ187))*L187,"")</f>
        <v/>
      </c>
      <c r="N187" s="156"/>
      <c r="O187" s="156"/>
      <c r="P187" s="30">
        <f>IF(AND(OR(C187="品牌（示范）专业",C187="双高专业群",C187="卓越校专业群"),E187="国家级"),40,IF(AND(OR(C187="品牌（示范）专业",C187="双高专业群",C187="卓越校专业群"),E187="省级"),15,IF(AND(OR(C187="品牌（示范）专业",C187="双高专业群",C187="卓越校专业群"),E187="市级"),10,IF(AND(OR(C187="品牌（示范）专业",C187="双高专业群",C187="卓越校专业群"),E187="校级"),3,0))))</f>
        <v>0</v>
      </c>
      <c r="Q187" s="30">
        <f>IF(AND(C187="五星级专业",E187="国家级"),30,IF(AND(C187="五星级专业",E187="省级"),10,IF(AND(C187="五星级专业",E187="市级"),5,IF(AND(C187="五星级专业",E187="校级"),2,0))))</f>
        <v>0</v>
      </c>
      <c r="R187" s="30">
        <f>IF(AND(C187="四星级专业",E187="国家级"),15,IF(AND(C187="四星级专业",E187="省级"),5,IF(AND(C187="四星级专业",E187="市级"),3,IF(AND(C187="四星级专业",E187="校级"),1,0))))</f>
        <v>0</v>
      </c>
      <c r="S187" s="30">
        <f>IF(AND(OR(C187="学徒制试点",C187="1+X 证书试点考点"),E187="国家级"),30,IF(AND(OR(C187="学徒制试点",C187="1+X 证书试点考点"),E187="省级"),10,IF(AND(OR(C187="学徒制试点",C187="1+X 证书试点考点"),E187="市级"),5,IF(AND(OR(C187="学徒制试点",C187="1+X 证书试点考点"),E187="校级"),2,0))))</f>
        <v>0</v>
      </c>
      <c r="T187" s="30">
        <f>IF(AND(C187="主持资源库建设",E187="国家级"),30,IF(AND(C187="主持资源库建设",E187="省级"),15,IF(AND(C187="主持资源库建设",E187="市级"),5,IF(AND(C187="主持资源库建设",E187="校级"),3,0))))</f>
        <v>0</v>
      </c>
      <c r="U187" s="30">
        <f>IF(AND(C187="参与资源库建设",E187="国家级"),10,IF(AND(C187="参与资源库建设",E187="省级"),5,IF(AND(C187="参与资源库建设",E187="市级"),2,IF(AND(C187="参与资源库建设",E187="校级"),0,0))))</f>
        <v>0</v>
      </c>
      <c r="V187" s="30">
        <f>IF(AND(B187="课程建设",E187="国家级"),25,IF(AND(B187="课程建设",E187="省级"),10,IF(AND(B187="课程建设",E187="市级"),5,IF(AND(B187="课程建设",E187="校级"),2,0))))</f>
        <v>0</v>
      </c>
      <c r="W187" s="30">
        <f>IF(B187="课程建设",IF(I187="独立完成",1,IF(K187=1,0.7,IF(K187=2,0.3,IF(K187=3,0.1,IF(K187&gt;3,0.05))))),0)</f>
        <v>0</v>
      </c>
      <c r="X187" s="163">
        <f>IF(NOT(B187="课程建设"),IF(I187="独立完成",1,IF(K187=1,0.6,IF(AND(J187=2,K187=2),0.4,IF(AND(J187&gt;2,K187=2),0.3,IF(AND(J187&gt;2,K187=3),0.2,IF(AND(J187&gt;2,K187&gt;3),0.1,0)))))),0)</f>
        <v>0</v>
      </c>
      <c r="Y187" s="163">
        <f>IF(AND(B187="文化建设项目",E187="国家级"),40,IF(AND(B187="文化建设项目",E187="省级"),15,IF(AND(B187="文化建设项目",E187="市级"),10,IF(AND(B187="文化建设项目设",E187="校级"),3,0))))</f>
        <v>0</v>
      </c>
      <c r="Z187" s="30">
        <f>IF(AND(C187="产教融合项目",E187="国家级"),60,IF(AND(C187="产教融合项目",E187="省级"),20,IF(AND(C187="产教融合项目",E187="市级"),10,IF(AND(C187="产教融合项目",E187="校级"),0,0))))</f>
        <v>0</v>
      </c>
      <c r="AA187" s="30">
        <f>IF(AND(C187="辅导员名师",E187="国家级"),35,IF(AND(C187="辅导员名师",E187="省级"),15,IF(AND(C187="辅导员名师",E187="市级"),10,IF(AND(C187="辅导员名师",E187="校级"),5,0))))</f>
        <v>0</v>
      </c>
      <c r="AB187" s="30">
        <f>IF(AND(C187="教学名师",E187="国家级"),40,IF(AND(C187="教学名师",E187="省级"),15,IF(AND(C187="教学名师",E187="市级"),10,IF(AND(C187="教学名师",E187="校级"),5,0))))</f>
        <v>0</v>
      </c>
      <c r="AC187" s="30">
        <f>IF(AND(OR(C187="专业带头人",C187="学术带头人"),E187="国家级"),35,IF(AND(OR(C187="专业带头人",C187="学术带头人"),E187="省级"),15,IF(AND(OR(C187="专业带头人",C187="学术带头人"),E187="市级"),10,IF(AND(OR(C187="专业带头人",C187="学术带头人"),E187="校级"),5,0))))</f>
        <v>0</v>
      </c>
      <c r="AD187" s="30">
        <f>IF(AND(OR(C187="骨干教师",C187="科研骨干"),E187="国家级"),25,IF(AND(OR(C187="骨干教师",C187="科研骨干"),E187="省级"),10,IF(AND(OR(C187="骨干教师",C187="科研骨干"),E187="市级"),7,IF(AND(OR(C187="骨干教师",C187="科研骨干"),E187="校级"),5,0))))</f>
        <v>0</v>
      </c>
      <c r="AE187" s="30">
        <f>IF(AND(C187="学生团体荣誉",E187="国家级"),25,IF(AND(C187="学生团体荣誉",E187="省级"),10,IF(AND(C187="学生团体荣誉",E187="市级"),5,IF(AND(C187="学生团体荣誉",E187="校级"),3,0))))</f>
        <v>0</v>
      </c>
      <c r="AF187" s="30">
        <f>IF(AND(C187="技能大师",E187="国家级"),35,IF(AND(C187="技能大师",E187="省级"),15,IF(AND(C187="技能大师",E187="市级"),10,IF(AND(C187="技能大师",E187="校级"),5,0))))</f>
        <v>0</v>
      </c>
      <c r="AG187" s="30">
        <f>IF(AND(C187="社团指导教师",E187="国家级"),0,IF(AND(C187="教社团指导教师",E187="省级"),0,IF(AND(C187="社团指导教师",E187="市级"),0,IF(AND(C187="社团指导教师",E187="校级"),3,0))))</f>
        <v>0</v>
      </c>
      <c r="AH187" s="163">
        <f>IF(AND(OR(C187="党组织荣誉",C187="其他团体荣誉"),E187="国家级"),20,IF(AND(OR(C187="党组织荣誉",C187="其他团体荣誉"),E187="省级"),8,IF(AND(OR(C187="党组织荣誉",C187="其他团体荣誉"),E187="市级"),5,IF(AND(OR(C187="党组织荣誉",C187="其他团体荣誉"),E187="校级"),3,0))))</f>
        <v>0</v>
      </c>
      <c r="AI187" s="163">
        <f>IF(AND(C187="教师党支部书记",E187="国家级"),0,IF(AND(C187="教师党支部书记",E187="省级"),0,IF(AND(C187="教师党支部书记",E187="市级"),0,IF(AND(C187="教师党支部书记",E187="校级"),3,0))))</f>
        <v>0</v>
      </c>
      <c r="AJ187" s="188">
        <f>IF(AND(OR(C187="党务工作项目荣誉",C187="其他工作项目荣誉"),E187="国家级"),20,IF(AND(OR(C187="党务工作项目荣誉",C187="其他工作项目荣誉"),E187="省级"),8,IF(AND(OR(C187="党务工作项目荣誉",C187="其他工作项目荣誉"),E187="市级"),5,IF(AND(OR(C187="党务工作项目荣誉",C187="其他工作项目荣誉"),E187="校级"),3,0))))</f>
        <v>0</v>
      </c>
      <c r="AP187" s="124"/>
      <c r="AQ187" s="124"/>
      <c r="AR187" s="124"/>
      <c r="AS187" s="124"/>
      <c r="AT187" s="124"/>
      <c r="AU187" s="124"/>
      <c r="AV187" s="124"/>
      <c r="AW187" s="124"/>
      <c r="AX187" s="124"/>
      <c r="AY187" s="124"/>
      <c r="AZ187" s="124"/>
      <c r="BA187" s="124"/>
      <c r="BB187" s="124"/>
      <c r="BC187" s="124"/>
      <c r="BD187" s="124"/>
      <c r="BE187" s="124"/>
      <c r="BF187" s="124"/>
      <c r="BG187" s="124"/>
      <c r="BH187" s="124"/>
    </row>
    <row r="188" ht="31" customHeight="1" spans="1:60">
      <c r="A188" s="33"/>
      <c r="B188" s="130"/>
      <c r="C188" s="130"/>
      <c r="D188" s="130"/>
      <c r="E188" s="130"/>
      <c r="F188" s="131"/>
      <c r="G188" s="131"/>
      <c r="H188" s="182"/>
      <c r="I188" s="131"/>
      <c r="J188" s="154"/>
      <c r="K188" s="154"/>
      <c r="L188" s="167" t="str">
        <f>IF(B188&lt;&gt;"",IF(OR(B188="文化建设项目",B188="产教融合项目"),0,IF(OR(B188="个人荣誉",C188="社团指导教师"),1,W188+X188)),"")</f>
        <v/>
      </c>
      <c r="M188" s="167" t="str">
        <f>IF(B188&lt;&gt;"",(SUM(P188:V188)+SUM(Y188:AJ188))*L188,"")</f>
        <v/>
      </c>
      <c r="N188" s="156"/>
      <c r="O188" s="156"/>
      <c r="P188" s="30">
        <f>IF(AND(OR(C188="品牌（示范）专业",C188="双高专业群",C188="卓越校专业群"),E188="国家级"),40,IF(AND(OR(C188="品牌（示范）专业",C188="双高专业群",C188="卓越校专业群"),E188="省级"),15,IF(AND(OR(C188="品牌（示范）专业",C188="双高专业群",C188="卓越校专业群"),E188="市级"),10,IF(AND(OR(C188="品牌（示范）专业",C188="双高专业群",C188="卓越校专业群"),E188="校级"),3,0))))</f>
        <v>0</v>
      </c>
      <c r="Q188" s="30">
        <f>IF(AND(C188="五星级专业",E188="国家级"),30,IF(AND(C188="五星级专业",E188="省级"),10,IF(AND(C188="五星级专业",E188="市级"),5,IF(AND(C188="五星级专业",E188="校级"),2,0))))</f>
        <v>0</v>
      </c>
      <c r="R188" s="30">
        <f>IF(AND(C188="四星级专业",E188="国家级"),15,IF(AND(C188="四星级专业",E188="省级"),5,IF(AND(C188="四星级专业",E188="市级"),3,IF(AND(C188="四星级专业",E188="校级"),1,0))))</f>
        <v>0</v>
      </c>
      <c r="S188" s="30">
        <f>IF(AND(OR(C188="学徒制试点",C188="1+X 证书试点考点"),E188="国家级"),30,IF(AND(OR(C188="学徒制试点",C188="1+X 证书试点考点"),E188="省级"),10,IF(AND(OR(C188="学徒制试点",C188="1+X 证书试点考点"),E188="市级"),5,IF(AND(OR(C188="学徒制试点",C188="1+X 证书试点考点"),E188="校级"),2,0))))</f>
        <v>0</v>
      </c>
      <c r="T188" s="30">
        <f>IF(AND(C188="主持资源库建设",E188="国家级"),30,IF(AND(C188="主持资源库建设",E188="省级"),15,IF(AND(C188="主持资源库建设",E188="市级"),5,IF(AND(C188="主持资源库建设",E188="校级"),3,0))))</f>
        <v>0</v>
      </c>
      <c r="U188" s="30">
        <f>IF(AND(C188="参与资源库建设",E188="国家级"),10,IF(AND(C188="参与资源库建设",E188="省级"),5,IF(AND(C188="参与资源库建设",E188="市级"),2,IF(AND(C188="参与资源库建设",E188="校级"),0,0))))</f>
        <v>0</v>
      </c>
      <c r="V188" s="30">
        <f>IF(AND(B188="课程建设",E188="国家级"),25,IF(AND(B188="课程建设",E188="省级"),10,IF(AND(B188="课程建设",E188="市级"),5,IF(AND(B188="课程建设",E188="校级"),2,0))))</f>
        <v>0</v>
      </c>
      <c r="W188" s="30">
        <f>IF(B188="课程建设",IF(I188="独立完成",1,IF(K188=1,0.7,IF(K188=2,0.3,IF(K188=3,0.1,IF(K188&gt;3,0.05))))),0)</f>
        <v>0</v>
      </c>
      <c r="X188" s="163">
        <f>IF(NOT(B188="课程建设"),IF(I188="独立完成",1,IF(K188=1,0.6,IF(AND(J188=2,K188=2),0.4,IF(AND(J188&gt;2,K188=2),0.3,IF(AND(J188&gt;2,K188=3),0.2,IF(AND(J188&gt;2,K188&gt;3),0.1,0)))))),0)</f>
        <v>0</v>
      </c>
      <c r="Y188" s="163">
        <f>IF(AND(B188="文化建设项目",E188="国家级"),40,IF(AND(B188="文化建设项目",E188="省级"),15,IF(AND(B188="文化建设项目",E188="市级"),10,IF(AND(B188="文化建设项目设",E188="校级"),3,0))))</f>
        <v>0</v>
      </c>
      <c r="Z188" s="30">
        <f>IF(AND(C188="产教融合项目",E188="国家级"),60,IF(AND(C188="产教融合项目",E188="省级"),20,IF(AND(C188="产教融合项目",E188="市级"),10,IF(AND(C188="产教融合项目",E188="校级"),0,0))))</f>
        <v>0</v>
      </c>
      <c r="AA188" s="30">
        <f>IF(AND(C188="辅导员名师",E188="国家级"),35,IF(AND(C188="辅导员名师",E188="省级"),15,IF(AND(C188="辅导员名师",E188="市级"),10,IF(AND(C188="辅导员名师",E188="校级"),5,0))))</f>
        <v>0</v>
      </c>
      <c r="AB188" s="30">
        <f>IF(AND(C188="教学名师",E188="国家级"),40,IF(AND(C188="教学名师",E188="省级"),15,IF(AND(C188="教学名师",E188="市级"),10,IF(AND(C188="教学名师",E188="校级"),5,0))))</f>
        <v>0</v>
      </c>
      <c r="AC188" s="30">
        <f>IF(AND(OR(C188="专业带头人",C188="学术带头人"),E188="国家级"),35,IF(AND(OR(C188="专业带头人",C188="学术带头人"),E188="省级"),15,IF(AND(OR(C188="专业带头人",C188="学术带头人"),E188="市级"),10,IF(AND(OR(C188="专业带头人",C188="学术带头人"),E188="校级"),5,0))))</f>
        <v>0</v>
      </c>
      <c r="AD188" s="30">
        <f>IF(AND(OR(C188="骨干教师",C188="科研骨干"),E188="国家级"),25,IF(AND(OR(C188="骨干教师",C188="科研骨干"),E188="省级"),10,IF(AND(OR(C188="骨干教师",C188="科研骨干"),E188="市级"),7,IF(AND(OR(C188="骨干教师",C188="科研骨干"),E188="校级"),5,0))))</f>
        <v>0</v>
      </c>
      <c r="AE188" s="30">
        <f>IF(AND(C188="学生团体荣誉",E188="国家级"),25,IF(AND(C188="学生团体荣誉",E188="省级"),10,IF(AND(C188="学生团体荣誉",E188="市级"),5,IF(AND(C188="学生团体荣誉",E188="校级"),3,0))))</f>
        <v>0</v>
      </c>
      <c r="AF188" s="30">
        <f>IF(AND(C188="技能大师",E188="国家级"),35,IF(AND(C188="技能大师",E188="省级"),15,IF(AND(C188="技能大师",E188="市级"),10,IF(AND(C188="技能大师",E188="校级"),5,0))))</f>
        <v>0</v>
      </c>
      <c r="AG188" s="30">
        <f>IF(AND(C188="社团指导教师",E188="国家级"),0,IF(AND(C188="教社团指导教师",E188="省级"),0,IF(AND(C188="社团指导教师",E188="市级"),0,IF(AND(C188="社团指导教师",E188="校级"),3,0))))</f>
        <v>0</v>
      </c>
      <c r="AH188" s="163">
        <f>IF(AND(OR(C188="党组织荣誉",C188="其他团体荣誉"),E188="国家级"),20,IF(AND(OR(C188="党组织荣誉",C188="其他团体荣誉"),E188="省级"),8,IF(AND(OR(C188="党组织荣誉",C188="其他团体荣誉"),E188="市级"),5,IF(AND(OR(C188="党组织荣誉",C188="其他团体荣誉"),E188="校级"),3,0))))</f>
        <v>0</v>
      </c>
      <c r="AI188" s="163">
        <f>IF(AND(C188="教师党支部书记",E188="国家级"),0,IF(AND(C188="教师党支部书记",E188="省级"),0,IF(AND(C188="教师党支部书记",E188="市级"),0,IF(AND(C188="教师党支部书记",E188="校级"),3,0))))</f>
        <v>0</v>
      </c>
      <c r="AJ188" s="188">
        <f>IF(AND(OR(C188="党务工作项目荣誉",C188="其他工作项目荣誉"),E188="国家级"),20,IF(AND(OR(C188="党务工作项目荣誉",C188="其他工作项目荣誉"),E188="省级"),8,IF(AND(OR(C188="党务工作项目荣誉",C188="其他工作项目荣誉"),E188="市级"),5,IF(AND(OR(C188="党务工作项目荣誉",C188="其他工作项目荣誉"),E188="校级"),3,0))))</f>
        <v>0</v>
      </c>
      <c r="AP188" s="124"/>
      <c r="AQ188" s="124"/>
      <c r="AR188" s="124"/>
      <c r="AS188" s="124"/>
      <c r="AT188" s="124"/>
      <c r="AU188" s="124"/>
      <c r="AV188" s="124"/>
      <c r="AW188" s="124"/>
      <c r="AX188" s="124"/>
      <c r="AY188" s="124"/>
      <c r="AZ188" s="124"/>
      <c r="BA188" s="124"/>
      <c r="BB188" s="124"/>
      <c r="BC188" s="124"/>
      <c r="BD188" s="124"/>
      <c r="BE188" s="124"/>
      <c r="BF188" s="124"/>
      <c r="BG188" s="124"/>
      <c r="BH188" s="124"/>
    </row>
    <row r="189" ht="31" customHeight="1" spans="1:60">
      <c r="A189" s="33"/>
      <c r="B189" s="130"/>
      <c r="C189" s="130"/>
      <c r="D189" s="130"/>
      <c r="E189" s="130"/>
      <c r="F189" s="131"/>
      <c r="G189" s="131"/>
      <c r="H189" s="182"/>
      <c r="I189" s="131"/>
      <c r="J189" s="154"/>
      <c r="K189" s="154"/>
      <c r="L189" s="167" t="str">
        <f>IF(B189&lt;&gt;"",IF(OR(B189="文化建设项目",B189="产教融合项目"),0,IF(OR(B189="个人荣誉",C189="社团指导教师"),1,W189+X189)),"")</f>
        <v/>
      </c>
      <c r="M189" s="167" t="str">
        <f>IF(B189&lt;&gt;"",(SUM(P189:V189)+SUM(Y189:AJ189))*L189,"")</f>
        <v/>
      </c>
      <c r="N189" s="156"/>
      <c r="O189" s="156"/>
      <c r="P189" s="30">
        <f>IF(AND(OR(C189="品牌（示范）专业",C189="双高专业群",C189="卓越校专业群"),E189="国家级"),40,IF(AND(OR(C189="品牌（示范）专业",C189="双高专业群",C189="卓越校专业群"),E189="省级"),15,IF(AND(OR(C189="品牌（示范）专业",C189="双高专业群",C189="卓越校专业群"),E189="市级"),10,IF(AND(OR(C189="品牌（示范）专业",C189="双高专业群",C189="卓越校专业群"),E189="校级"),3,0))))</f>
        <v>0</v>
      </c>
      <c r="Q189" s="30">
        <f>IF(AND(C189="五星级专业",E189="国家级"),30,IF(AND(C189="五星级专业",E189="省级"),10,IF(AND(C189="五星级专业",E189="市级"),5,IF(AND(C189="五星级专业",E189="校级"),2,0))))</f>
        <v>0</v>
      </c>
      <c r="R189" s="30">
        <f>IF(AND(C189="四星级专业",E189="国家级"),15,IF(AND(C189="四星级专业",E189="省级"),5,IF(AND(C189="四星级专业",E189="市级"),3,IF(AND(C189="四星级专业",E189="校级"),1,0))))</f>
        <v>0</v>
      </c>
      <c r="S189" s="30">
        <f>IF(AND(OR(C189="学徒制试点",C189="1+X 证书试点考点"),E189="国家级"),30,IF(AND(OR(C189="学徒制试点",C189="1+X 证书试点考点"),E189="省级"),10,IF(AND(OR(C189="学徒制试点",C189="1+X 证书试点考点"),E189="市级"),5,IF(AND(OR(C189="学徒制试点",C189="1+X 证书试点考点"),E189="校级"),2,0))))</f>
        <v>0</v>
      </c>
      <c r="T189" s="30">
        <f>IF(AND(C189="主持资源库建设",E189="国家级"),30,IF(AND(C189="主持资源库建设",E189="省级"),15,IF(AND(C189="主持资源库建设",E189="市级"),5,IF(AND(C189="主持资源库建设",E189="校级"),3,0))))</f>
        <v>0</v>
      </c>
      <c r="U189" s="30">
        <f>IF(AND(C189="参与资源库建设",E189="国家级"),10,IF(AND(C189="参与资源库建设",E189="省级"),5,IF(AND(C189="参与资源库建设",E189="市级"),2,IF(AND(C189="参与资源库建设",E189="校级"),0,0))))</f>
        <v>0</v>
      </c>
      <c r="V189" s="30">
        <f>IF(AND(B189="课程建设",E189="国家级"),25,IF(AND(B189="课程建设",E189="省级"),10,IF(AND(B189="课程建设",E189="市级"),5,IF(AND(B189="课程建设",E189="校级"),2,0))))</f>
        <v>0</v>
      </c>
      <c r="W189" s="30">
        <f>IF(B189="课程建设",IF(I189="独立完成",1,IF(K189=1,0.7,IF(K189=2,0.3,IF(K189=3,0.1,IF(K189&gt;3,0.05))))),0)</f>
        <v>0</v>
      </c>
      <c r="X189" s="163">
        <f>IF(NOT(B189="课程建设"),IF(I189="独立完成",1,IF(K189=1,0.6,IF(AND(J189=2,K189=2),0.4,IF(AND(J189&gt;2,K189=2),0.3,IF(AND(J189&gt;2,K189=3),0.2,IF(AND(J189&gt;2,K189&gt;3),0.1,0)))))),0)</f>
        <v>0</v>
      </c>
      <c r="Y189" s="163">
        <f>IF(AND(B189="文化建设项目",E189="国家级"),40,IF(AND(B189="文化建设项目",E189="省级"),15,IF(AND(B189="文化建设项目",E189="市级"),10,IF(AND(B189="文化建设项目设",E189="校级"),3,0))))</f>
        <v>0</v>
      </c>
      <c r="Z189" s="30">
        <f>IF(AND(C189="产教融合项目",E189="国家级"),60,IF(AND(C189="产教融合项目",E189="省级"),20,IF(AND(C189="产教融合项目",E189="市级"),10,IF(AND(C189="产教融合项目",E189="校级"),0,0))))</f>
        <v>0</v>
      </c>
      <c r="AA189" s="30">
        <f>IF(AND(C189="辅导员名师",E189="国家级"),35,IF(AND(C189="辅导员名师",E189="省级"),15,IF(AND(C189="辅导员名师",E189="市级"),10,IF(AND(C189="辅导员名师",E189="校级"),5,0))))</f>
        <v>0</v>
      </c>
      <c r="AB189" s="30">
        <f>IF(AND(C189="教学名师",E189="国家级"),40,IF(AND(C189="教学名师",E189="省级"),15,IF(AND(C189="教学名师",E189="市级"),10,IF(AND(C189="教学名师",E189="校级"),5,0))))</f>
        <v>0</v>
      </c>
      <c r="AC189" s="30">
        <f>IF(AND(OR(C189="专业带头人",C189="学术带头人"),E189="国家级"),35,IF(AND(OR(C189="专业带头人",C189="学术带头人"),E189="省级"),15,IF(AND(OR(C189="专业带头人",C189="学术带头人"),E189="市级"),10,IF(AND(OR(C189="专业带头人",C189="学术带头人"),E189="校级"),5,0))))</f>
        <v>0</v>
      </c>
      <c r="AD189" s="30">
        <f>IF(AND(OR(C189="骨干教师",C189="科研骨干"),E189="国家级"),25,IF(AND(OR(C189="骨干教师",C189="科研骨干"),E189="省级"),10,IF(AND(OR(C189="骨干教师",C189="科研骨干"),E189="市级"),7,IF(AND(OR(C189="骨干教师",C189="科研骨干"),E189="校级"),5,0))))</f>
        <v>0</v>
      </c>
      <c r="AE189" s="30">
        <f>IF(AND(C189="学生团体荣誉",E189="国家级"),25,IF(AND(C189="学生团体荣誉",E189="省级"),10,IF(AND(C189="学生团体荣誉",E189="市级"),5,IF(AND(C189="学生团体荣誉",E189="校级"),3,0))))</f>
        <v>0</v>
      </c>
      <c r="AF189" s="30">
        <f>IF(AND(C189="技能大师",E189="国家级"),35,IF(AND(C189="技能大师",E189="省级"),15,IF(AND(C189="技能大师",E189="市级"),10,IF(AND(C189="技能大师",E189="校级"),5,0))))</f>
        <v>0</v>
      </c>
      <c r="AG189" s="30">
        <f>IF(AND(C189="社团指导教师",E189="国家级"),0,IF(AND(C189="教社团指导教师",E189="省级"),0,IF(AND(C189="社团指导教师",E189="市级"),0,IF(AND(C189="社团指导教师",E189="校级"),3,0))))</f>
        <v>0</v>
      </c>
      <c r="AH189" s="163">
        <f>IF(AND(OR(C189="党组织荣誉",C189="其他团体荣誉"),E189="国家级"),20,IF(AND(OR(C189="党组织荣誉",C189="其他团体荣誉"),E189="省级"),8,IF(AND(OR(C189="党组织荣誉",C189="其他团体荣誉"),E189="市级"),5,IF(AND(OR(C189="党组织荣誉",C189="其他团体荣誉"),E189="校级"),3,0))))</f>
        <v>0</v>
      </c>
      <c r="AI189" s="163">
        <f>IF(AND(C189="教师党支部书记",E189="国家级"),0,IF(AND(C189="教师党支部书记",E189="省级"),0,IF(AND(C189="教师党支部书记",E189="市级"),0,IF(AND(C189="教师党支部书记",E189="校级"),3,0))))</f>
        <v>0</v>
      </c>
      <c r="AJ189" s="188">
        <f>IF(AND(OR(C189="党务工作项目荣誉",C189="其他工作项目荣誉"),E189="国家级"),20,IF(AND(OR(C189="党务工作项目荣誉",C189="其他工作项目荣誉"),E189="省级"),8,IF(AND(OR(C189="党务工作项目荣誉",C189="其他工作项目荣誉"),E189="市级"),5,IF(AND(OR(C189="党务工作项目荣誉",C189="其他工作项目荣誉"),E189="校级"),3,0))))</f>
        <v>0</v>
      </c>
      <c r="AP189" s="124"/>
      <c r="AQ189" s="124"/>
      <c r="AR189" s="124"/>
      <c r="AS189" s="124"/>
      <c r="AT189" s="124"/>
      <c r="AU189" s="124"/>
      <c r="AV189" s="124"/>
      <c r="AW189" s="124"/>
      <c r="AX189" s="124"/>
      <c r="AY189" s="124"/>
      <c r="AZ189" s="124"/>
      <c r="BA189" s="124"/>
      <c r="BB189" s="124"/>
      <c r="BC189" s="124"/>
      <c r="BD189" s="124"/>
      <c r="BE189" s="124"/>
      <c r="BF189" s="124"/>
      <c r="BG189" s="124"/>
      <c r="BH189" s="124"/>
    </row>
    <row r="190" ht="31" customHeight="1" spans="1:60">
      <c r="A190" s="33"/>
      <c r="B190" s="130"/>
      <c r="C190" s="130"/>
      <c r="D190" s="130"/>
      <c r="E190" s="130"/>
      <c r="F190" s="131"/>
      <c r="G190" s="131"/>
      <c r="H190" s="182"/>
      <c r="I190" s="131"/>
      <c r="J190" s="154"/>
      <c r="K190" s="154"/>
      <c r="L190" s="167" t="str">
        <f>IF(B190&lt;&gt;"",IF(OR(B190="文化建设项目",B190="产教融合项目"),0,IF(OR(B190="个人荣誉",C190="社团指导教师"),1,W190+X190)),"")</f>
        <v/>
      </c>
      <c r="M190" s="167" t="str">
        <f>IF(B190&lt;&gt;"",(SUM(P190:V190)+SUM(Y190:AJ190))*L190,"")</f>
        <v/>
      </c>
      <c r="N190" s="156"/>
      <c r="O190" s="156"/>
      <c r="P190" s="30">
        <f>IF(AND(OR(C190="品牌（示范）专业",C190="双高专业群",C190="卓越校专业群"),E190="国家级"),40,IF(AND(OR(C190="品牌（示范）专业",C190="双高专业群",C190="卓越校专业群"),E190="省级"),15,IF(AND(OR(C190="品牌（示范）专业",C190="双高专业群",C190="卓越校专业群"),E190="市级"),10,IF(AND(OR(C190="品牌（示范）专业",C190="双高专业群",C190="卓越校专业群"),E190="校级"),3,0))))</f>
        <v>0</v>
      </c>
      <c r="Q190" s="30">
        <f>IF(AND(C190="五星级专业",E190="国家级"),30,IF(AND(C190="五星级专业",E190="省级"),10,IF(AND(C190="五星级专业",E190="市级"),5,IF(AND(C190="五星级专业",E190="校级"),2,0))))</f>
        <v>0</v>
      </c>
      <c r="R190" s="30">
        <f>IF(AND(C190="四星级专业",E190="国家级"),15,IF(AND(C190="四星级专业",E190="省级"),5,IF(AND(C190="四星级专业",E190="市级"),3,IF(AND(C190="四星级专业",E190="校级"),1,0))))</f>
        <v>0</v>
      </c>
      <c r="S190" s="30">
        <f>IF(AND(OR(C190="学徒制试点",C190="1+X 证书试点考点"),E190="国家级"),30,IF(AND(OR(C190="学徒制试点",C190="1+X 证书试点考点"),E190="省级"),10,IF(AND(OR(C190="学徒制试点",C190="1+X 证书试点考点"),E190="市级"),5,IF(AND(OR(C190="学徒制试点",C190="1+X 证书试点考点"),E190="校级"),2,0))))</f>
        <v>0</v>
      </c>
      <c r="T190" s="30">
        <f>IF(AND(C190="主持资源库建设",E190="国家级"),30,IF(AND(C190="主持资源库建设",E190="省级"),15,IF(AND(C190="主持资源库建设",E190="市级"),5,IF(AND(C190="主持资源库建设",E190="校级"),3,0))))</f>
        <v>0</v>
      </c>
      <c r="U190" s="30">
        <f>IF(AND(C190="参与资源库建设",E190="国家级"),10,IF(AND(C190="参与资源库建设",E190="省级"),5,IF(AND(C190="参与资源库建设",E190="市级"),2,IF(AND(C190="参与资源库建设",E190="校级"),0,0))))</f>
        <v>0</v>
      </c>
      <c r="V190" s="30">
        <f>IF(AND(B190="课程建设",E190="国家级"),25,IF(AND(B190="课程建设",E190="省级"),10,IF(AND(B190="课程建设",E190="市级"),5,IF(AND(B190="课程建设",E190="校级"),2,0))))</f>
        <v>0</v>
      </c>
      <c r="W190" s="30">
        <f>IF(B190="课程建设",IF(I190="独立完成",1,IF(K190=1,0.7,IF(K190=2,0.3,IF(K190=3,0.1,IF(K190&gt;3,0.05))))),0)</f>
        <v>0</v>
      </c>
      <c r="X190" s="163">
        <f>IF(NOT(B190="课程建设"),IF(I190="独立完成",1,IF(K190=1,0.6,IF(AND(J190=2,K190=2),0.4,IF(AND(J190&gt;2,K190=2),0.3,IF(AND(J190&gt;2,K190=3),0.2,IF(AND(J190&gt;2,K190&gt;3),0.1,0)))))),0)</f>
        <v>0</v>
      </c>
      <c r="Y190" s="163">
        <f>IF(AND(B190="文化建设项目",E190="国家级"),40,IF(AND(B190="文化建设项目",E190="省级"),15,IF(AND(B190="文化建设项目",E190="市级"),10,IF(AND(B190="文化建设项目设",E190="校级"),3,0))))</f>
        <v>0</v>
      </c>
      <c r="Z190" s="30">
        <f>IF(AND(C190="产教融合项目",E190="国家级"),60,IF(AND(C190="产教融合项目",E190="省级"),20,IF(AND(C190="产教融合项目",E190="市级"),10,IF(AND(C190="产教融合项目",E190="校级"),0,0))))</f>
        <v>0</v>
      </c>
      <c r="AA190" s="30">
        <f>IF(AND(C190="辅导员名师",E190="国家级"),35,IF(AND(C190="辅导员名师",E190="省级"),15,IF(AND(C190="辅导员名师",E190="市级"),10,IF(AND(C190="辅导员名师",E190="校级"),5,0))))</f>
        <v>0</v>
      </c>
      <c r="AB190" s="30">
        <f>IF(AND(C190="教学名师",E190="国家级"),40,IF(AND(C190="教学名师",E190="省级"),15,IF(AND(C190="教学名师",E190="市级"),10,IF(AND(C190="教学名师",E190="校级"),5,0))))</f>
        <v>0</v>
      </c>
      <c r="AC190" s="30">
        <f>IF(AND(OR(C190="专业带头人",C190="学术带头人"),E190="国家级"),35,IF(AND(OR(C190="专业带头人",C190="学术带头人"),E190="省级"),15,IF(AND(OR(C190="专业带头人",C190="学术带头人"),E190="市级"),10,IF(AND(OR(C190="专业带头人",C190="学术带头人"),E190="校级"),5,0))))</f>
        <v>0</v>
      </c>
      <c r="AD190" s="30">
        <f>IF(AND(OR(C190="骨干教师",C190="科研骨干"),E190="国家级"),25,IF(AND(OR(C190="骨干教师",C190="科研骨干"),E190="省级"),10,IF(AND(OR(C190="骨干教师",C190="科研骨干"),E190="市级"),7,IF(AND(OR(C190="骨干教师",C190="科研骨干"),E190="校级"),5,0))))</f>
        <v>0</v>
      </c>
      <c r="AE190" s="30">
        <f>IF(AND(C190="学生团体荣誉",E190="国家级"),25,IF(AND(C190="学生团体荣誉",E190="省级"),10,IF(AND(C190="学生团体荣誉",E190="市级"),5,IF(AND(C190="学生团体荣誉",E190="校级"),3,0))))</f>
        <v>0</v>
      </c>
      <c r="AF190" s="30">
        <f>IF(AND(C190="技能大师",E190="国家级"),35,IF(AND(C190="技能大师",E190="省级"),15,IF(AND(C190="技能大师",E190="市级"),10,IF(AND(C190="技能大师",E190="校级"),5,0))))</f>
        <v>0</v>
      </c>
      <c r="AG190" s="30">
        <f>IF(AND(C190="社团指导教师",E190="国家级"),0,IF(AND(C190="教社团指导教师",E190="省级"),0,IF(AND(C190="社团指导教师",E190="市级"),0,IF(AND(C190="社团指导教师",E190="校级"),3,0))))</f>
        <v>0</v>
      </c>
      <c r="AH190" s="163">
        <f>IF(AND(OR(C190="党组织荣誉",C190="其他团体荣誉"),E190="国家级"),20,IF(AND(OR(C190="党组织荣誉",C190="其他团体荣誉"),E190="省级"),8,IF(AND(OR(C190="党组织荣誉",C190="其他团体荣誉"),E190="市级"),5,IF(AND(OR(C190="党组织荣誉",C190="其他团体荣誉"),E190="校级"),3,0))))</f>
        <v>0</v>
      </c>
      <c r="AI190" s="163">
        <f>IF(AND(C190="教师党支部书记",E190="国家级"),0,IF(AND(C190="教师党支部书记",E190="省级"),0,IF(AND(C190="教师党支部书记",E190="市级"),0,IF(AND(C190="教师党支部书记",E190="校级"),3,0))))</f>
        <v>0</v>
      </c>
      <c r="AJ190" s="188">
        <f>IF(AND(OR(C190="党务工作项目荣誉",C190="其他工作项目荣誉"),E190="国家级"),20,IF(AND(OR(C190="党务工作项目荣誉",C190="其他工作项目荣誉"),E190="省级"),8,IF(AND(OR(C190="党务工作项目荣誉",C190="其他工作项目荣誉"),E190="市级"),5,IF(AND(OR(C190="党务工作项目荣誉",C190="其他工作项目荣誉"),E190="校级"),3,0))))</f>
        <v>0</v>
      </c>
      <c r="AP190" s="124"/>
      <c r="AQ190" s="124"/>
      <c r="AR190" s="124"/>
      <c r="AS190" s="124"/>
      <c r="AT190" s="124"/>
      <c r="AU190" s="124"/>
      <c r="AV190" s="124"/>
      <c r="AW190" s="124"/>
      <c r="AX190" s="124"/>
      <c r="AY190" s="124"/>
      <c r="AZ190" s="124"/>
      <c r="BA190" s="124"/>
      <c r="BB190" s="124"/>
      <c r="BC190" s="124"/>
      <c r="BD190" s="124"/>
      <c r="BE190" s="124"/>
      <c r="BF190" s="124"/>
      <c r="BG190" s="124"/>
      <c r="BH190" s="124"/>
    </row>
    <row r="191" ht="31" customHeight="1" spans="1:60">
      <c r="A191" s="33"/>
      <c r="B191" s="130"/>
      <c r="C191" s="130"/>
      <c r="D191" s="130"/>
      <c r="E191" s="130"/>
      <c r="F191" s="131"/>
      <c r="G191" s="131"/>
      <c r="H191" s="182"/>
      <c r="I191" s="131"/>
      <c r="J191" s="154"/>
      <c r="K191" s="154"/>
      <c r="L191" s="167" t="str">
        <f>IF(B191&lt;&gt;"",IF(OR(B191="文化建设项目",B191="产教融合项目"),0,IF(OR(B191="个人荣誉",C191="社团指导教师"),1,W191+X191)),"")</f>
        <v/>
      </c>
      <c r="M191" s="167" t="str">
        <f>IF(B191&lt;&gt;"",(SUM(P191:V191)+SUM(Y191:AJ191))*L191,"")</f>
        <v/>
      </c>
      <c r="N191" s="156"/>
      <c r="O191" s="156"/>
      <c r="P191" s="30">
        <f>IF(AND(OR(C191="品牌（示范）专业",C191="双高专业群",C191="卓越校专业群"),E191="国家级"),40,IF(AND(OR(C191="品牌（示范）专业",C191="双高专业群",C191="卓越校专业群"),E191="省级"),15,IF(AND(OR(C191="品牌（示范）专业",C191="双高专业群",C191="卓越校专业群"),E191="市级"),10,IF(AND(OR(C191="品牌（示范）专业",C191="双高专业群",C191="卓越校专业群"),E191="校级"),3,0))))</f>
        <v>0</v>
      </c>
      <c r="Q191" s="30">
        <f>IF(AND(C191="五星级专业",E191="国家级"),30,IF(AND(C191="五星级专业",E191="省级"),10,IF(AND(C191="五星级专业",E191="市级"),5,IF(AND(C191="五星级专业",E191="校级"),2,0))))</f>
        <v>0</v>
      </c>
      <c r="R191" s="30">
        <f>IF(AND(C191="四星级专业",E191="国家级"),15,IF(AND(C191="四星级专业",E191="省级"),5,IF(AND(C191="四星级专业",E191="市级"),3,IF(AND(C191="四星级专业",E191="校级"),1,0))))</f>
        <v>0</v>
      </c>
      <c r="S191" s="30">
        <f>IF(AND(OR(C191="学徒制试点",C191="1+X 证书试点考点"),E191="国家级"),30,IF(AND(OR(C191="学徒制试点",C191="1+X 证书试点考点"),E191="省级"),10,IF(AND(OR(C191="学徒制试点",C191="1+X 证书试点考点"),E191="市级"),5,IF(AND(OR(C191="学徒制试点",C191="1+X 证书试点考点"),E191="校级"),2,0))))</f>
        <v>0</v>
      </c>
      <c r="T191" s="30">
        <f>IF(AND(C191="主持资源库建设",E191="国家级"),30,IF(AND(C191="主持资源库建设",E191="省级"),15,IF(AND(C191="主持资源库建设",E191="市级"),5,IF(AND(C191="主持资源库建设",E191="校级"),3,0))))</f>
        <v>0</v>
      </c>
      <c r="U191" s="30">
        <f>IF(AND(C191="参与资源库建设",E191="国家级"),10,IF(AND(C191="参与资源库建设",E191="省级"),5,IF(AND(C191="参与资源库建设",E191="市级"),2,IF(AND(C191="参与资源库建设",E191="校级"),0,0))))</f>
        <v>0</v>
      </c>
      <c r="V191" s="30">
        <f>IF(AND(B191="课程建设",E191="国家级"),25,IF(AND(B191="课程建设",E191="省级"),10,IF(AND(B191="课程建设",E191="市级"),5,IF(AND(B191="课程建设",E191="校级"),2,0))))</f>
        <v>0</v>
      </c>
      <c r="W191" s="30">
        <f>IF(B191="课程建设",IF(I191="独立完成",1,IF(K191=1,0.7,IF(K191=2,0.3,IF(K191=3,0.1,IF(K191&gt;3,0.05))))),0)</f>
        <v>0</v>
      </c>
      <c r="X191" s="163">
        <f>IF(NOT(B191="课程建设"),IF(I191="独立完成",1,IF(K191=1,0.6,IF(AND(J191=2,K191=2),0.4,IF(AND(J191&gt;2,K191=2),0.3,IF(AND(J191&gt;2,K191=3),0.2,IF(AND(J191&gt;2,K191&gt;3),0.1,0)))))),0)</f>
        <v>0</v>
      </c>
      <c r="Y191" s="163">
        <f>IF(AND(B191="文化建设项目",E191="国家级"),40,IF(AND(B191="文化建设项目",E191="省级"),15,IF(AND(B191="文化建设项目",E191="市级"),10,IF(AND(B191="文化建设项目设",E191="校级"),3,0))))</f>
        <v>0</v>
      </c>
      <c r="Z191" s="30">
        <f>IF(AND(C191="产教融合项目",E191="国家级"),60,IF(AND(C191="产教融合项目",E191="省级"),20,IF(AND(C191="产教融合项目",E191="市级"),10,IF(AND(C191="产教融合项目",E191="校级"),0,0))))</f>
        <v>0</v>
      </c>
      <c r="AA191" s="30">
        <f>IF(AND(C191="辅导员名师",E191="国家级"),35,IF(AND(C191="辅导员名师",E191="省级"),15,IF(AND(C191="辅导员名师",E191="市级"),10,IF(AND(C191="辅导员名师",E191="校级"),5,0))))</f>
        <v>0</v>
      </c>
      <c r="AB191" s="30">
        <f>IF(AND(C191="教学名师",E191="国家级"),40,IF(AND(C191="教学名师",E191="省级"),15,IF(AND(C191="教学名师",E191="市级"),10,IF(AND(C191="教学名师",E191="校级"),5,0))))</f>
        <v>0</v>
      </c>
      <c r="AC191" s="30">
        <f>IF(AND(OR(C191="专业带头人",C191="学术带头人"),E191="国家级"),35,IF(AND(OR(C191="专业带头人",C191="学术带头人"),E191="省级"),15,IF(AND(OR(C191="专业带头人",C191="学术带头人"),E191="市级"),10,IF(AND(OR(C191="专业带头人",C191="学术带头人"),E191="校级"),5,0))))</f>
        <v>0</v>
      </c>
      <c r="AD191" s="30">
        <f>IF(AND(OR(C191="骨干教师",C191="科研骨干"),E191="国家级"),25,IF(AND(OR(C191="骨干教师",C191="科研骨干"),E191="省级"),10,IF(AND(OR(C191="骨干教师",C191="科研骨干"),E191="市级"),7,IF(AND(OR(C191="骨干教师",C191="科研骨干"),E191="校级"),5,0))))</f>
        <v>0</v>
      </c>
      <c r="AE191" s="30">
        <f>IF(AND(C191="学生团体荣誉",E191="国家级"),25,IF(AND(C191="学生团体荣誉",E191="省级"),10,IF(AND(C191="学生团体荣誉",E191="市级"),5,IF(AND(C191="学生团体荣誉",E191="校级"),3,0))))</f>
        <v>0</v>
      </c>
      <c r="AF191" s="30">
        <f>IF(AND(C191="技能大师",E191="国家级"),35,IF(AND(C191="技能大师",E191="省级"),15,IF(AND(C191="技能大师",E191="市级"),10,IF(AND(C191="技能大师",E191="校级"),5,0))))</f>
        <v>0</v>
      </c>
      <c r="AG191" s="30">
        <f>IF(AND(C191="社团指导教师",E191="国家级"),0,IF(AND(C191="教社团指导教师",E191="省级"),0,IF(AND(C191="社团指导教师",E191="市级"),0,IF(AND(C191="社团指导教师",E191="校级"),3,0))))</f>
        <v>0</v>
      </c>
      <c r="AH191" s="163">
        <f>IF(AND(OR(C191="党组织荣誉",C191="其他团体荣誉"),E191="国家级"),20,IF(AND(OR(C191="党组织荣誉",C191="其他团体荣誉"),E191="省级"),8,IF(AND(OR(C191="党组织荣誉",C191="其他团体荣誉"),E191="市级"),5,IF(AND(OR(C191="党组织荣誉",C191="其他团体荣誉"),E191="校级"),3,0))))</f>
        <v>0</v>
      </c>
      <c r="AI191" s="163">
        <f>IF(AND(C191="教师党支部书记",E191="国家级"),0,IF(AND(C191="教师党支部书记",E191="省级"),0,IF(AND(C191="教师党支部书记",E191="市级"),0,IF(AND(C191="教师党支部书记",E191="校级"),3,0))))</f>
        <v>0</v>
      </c>
      <c r="AJ191" s="188">
        <f>IF(AND(OR(C191="党务工作项目荣誉",C191="其他工作项目荣誉"),E191="国家级"),20,IF(AND(OR(C191="党务工作项目荣誉",C191="其他工作项目荣誉"),E191="省级"),8,IF(AND(OR(C191="党务工作项目荣誉",C191="其他工作项目荣誉"),E191="市级"),5,IF(AND(OR(C191="党务工作项目荣誉",C191="其他工作项目荣誉"),E191="校级"),3,0))))</f>
        <v>0</v>
      </c>
      <c r="AP191" s="124"/>
      <c r="AQ191" s="124"/>
      <c r="AR191" s="124"/>
      <c r="AS191" s="124"/>
      <c r="AT191" s="124"/>
      <c r="AU191" s="124"/>
      <c r="AV191" s="124"/>
      <c r="AW191" s="124"/>
      <c r="AX191" s="124"/>
      <c r="AY191" s="124"/>
      <c r="AZ191" s="124"/>
      <c r="BA191" s="124"/>
      <c r="BB191" s="124"/>
      <c r="BC191" s="124"/>
      <c r="BD191" s="124"/>
      <c r="BE191" s="124"/>
      <c r="BF191" s="124"/>
      <c r="BG191" s="124"/>
      <c r="BH191" s="124"/>
    </row>
    <row r="192" ht="31" customHeight="1" spans="1:60">
      <c r="A192" s="33"/>
      <c r="B192" s="133" t="s">
        <v>61</v>
      </c>
      <c r="C192" s="134"/>
      <c r="D192" s="134"/>
      <c r="E192" s="134"/>
      <c r="F192" s="134"/>
      <c r="G192" s="134"/>
      <c r="H192" s="134"/>
      <c r="I192" s="134"/>
      <c r="J192" s="134"/>
      <c r="K192" s="134"/>
      <c r="L192" s="157"/>
      <c r="M192" s="167">
        <f>IF(M187&lt;&gt;"",SUM(M187:M191),0)</f>
        <v>0</v>
      </c>
      <c r="N192" s="168"/>
      <c r="O192" s="168"/>
      <c r="AP192" s="124"/>
      <c r="AQ192" s="124"/>
      <c r="AR192" s="124"/>
      <c r="AS192" s="124"/>
      <c r="AT192" s="124"/>
      <c r="AU192" s="124"/>
      <c r="AV192" s="124"/>
      <c r="AW192" s="124"/>
      <c r="AX192" s="124"/>
      <c r="AY192" s="124"/>
      <c r="AZ192" s="124"/>
      <c r="BA192" s="124"/>
      <c r="BB192" s="124"/>
      <c r="BC192" s="124"/>
      <c r="BD192" s="124"/>
      <c r="BE192" s="124"/>
      <c r="BF192" s="124"/>
      <c r="BG192" s="124"/>
      <c r="BH192" s="124"/>
    </row>
    <row r="193" ht="15" customHeight="1" spans="1:60">
      <c r="A193" s="33"/>
      <c r="B193" s="189"/>
      <c r="C193" s="189"/>
      <c r="D193" s="189"/>
      <c r="E193" s="189"/>
      <c r="F193" s="189"/>
      <c r="G193" s="189"/>
      <c r="H193" s="189"/>
      <c r="I193" s="189"/>
      <c r="J193" s="189"/>
      <c r="K193" s="189"/>
      <c r="L193" s="189"/>
      <c r="M193" s="189"/>
      <c r="N193" s="189"/>
      <c r="O193" s="189"/>
      <c r="P193" s="98"/>
      <c r="AP193" s="124"/>
      <c r="AQ193" s="124"/>
      <c r="AR193" s="124"/>
      <c r="AS193" s="124"/>
      <c r="AT193" s="124"/>
      <c r="AU193" s="124"/>
      <c r="AV193" s="124"/>
      <c r="AW193" s="124"/>
      <c r="AX193" s="124"/>
      <c r="AY193" s="124"/>
      <c r="AZ193" s="124"/>
      <c r="BA193" s="124"/>
      <c r="BB193" s="124"/>
      <c r="BC193" s="124"/>
      <c r="BD193" s="124"/>
      <c r="BE193" s="124"/>
      <c r="BF193" s="124"/>
      <c r="BG193" s="124"/>
      <c r="BH193" s="124"/>
    </row>
    <row r="194" ht="27" customHeight="1" spans="1:60">
      <c r="A194" s="33"/>
      <c r="B194" s="74" t="s">
        <v>253</v>
      </c>
      <c r="C194" s="74"/>
      <c r="D194" s="74"/>
      <c r="E194" s="74"/>
      <c r="F194" s="74"/>
      <c r="G194" s="74"/>
      <c r="H194" s="74"/>
      <c r="I194" s="74"/>
      <c r="J194" s="74"/>
      <c r="K194" s="74"/>
      <c r="L194" s="74"/>
      <c r="M194" s="74"/>
      <c r="N194" s="74"/>
      <c r="O194" s="74"/>
      <c r="AP194" s="124"/>
      <c r="AQ194" s="124"/>
      <c r="AR194" s="124"/>
      <c r="AS194" s="124"/>
      <c r="AT194" s="124"/>
      <c r="AU194" s="124"/>
      <c r="AV194" s="124"/>
      <c r="AW194" s="124"/>
      <c r="AX194" s="124"/>
      <c r="AY194" s="124"/>
      <c r="AZ194" s="124"/>
      <c r="BA194" s="124"/>
      <c r="BB194" s="124"/>
      <c r="BC194" s="124"/>
      <c r="BD194" s="124"/>
      <c r="BE194" s="124"/>
      <c r="BF194" s="124"/>
      <c r="BG194" s="124"/>
      <c r="BH194" s="124"/>
    </row>
    <row r="195" ht="27" customHeight="1" spans="1:60">
      <c r="A195" s="33"/>
      <c r="B195" s="190" t="s">
        <v>254</v>
      </c>
      <c r="C195" s="191" t="s">
        <v>255</v>
      </c>
      <c r="D195" s="192"/>
      <c r="E195" s="193"/>
      <c r="F195" s="194" t="s">
        <v>256</v>
      </c>
      <c r="G195" s="195"/>
      <c r="H195" s="196" t="s">
        <v>257</v>
      </c>
      <c r="I195" s="196"/>
      <c r="J195" s="196"/>
      <c r="K195" s="227" t="s">
        <v>256</v>
      </c>
      <c r="L195" s="228"/>
      <c r="M195" s="229"/>
      <c r="N195" s="230" t="s">
        <v>258</v>
      </c>
      <c r="O195" s="231"/>
      <c r="AP195" s="124"/>
      <c r="AQ195" s="124"/>
      <c r="AR195" s="124"/>
      <c r="AS195" s="124"/>
      <c r="AT195" s="124"/>
      <c r="AU195" s="124"/>
      <c r="AV195" s="124"/>
      <c r="AW195" s="124"/>
      <c r="AX195" s="124"/>
      <c r="AY195" s="124"/>
      <c r="AZ195" s="124"/>
      <c r="BA195" s="124"/>
      <c r="BB195" s="124"/>
      <c r="BC195" s="124"/>
      <c r="BD195" s="124"/>
      <c r="BE195" s="124"/>
      <c r="BF195" s="124"/>
      <c r="BG195" s="124"/>
      <c r="BH195" s="124"/>
    </row>
    <row r="196" ht="27" customHeight="1" spans="1:60">
      <c r="A196" s="33"/>
      <c r="B196" s="197"/>
      <c r="C196" s="198">
        <f>IF(D26&lt;&gt;"",IF(D26="学士",2,IF(D26="硕士",3,IF(D26="博士",5,IF(D26="无学位（本科毕业）",1,0)))),0)</f>
        <v>0</v>
      </c>
      <c r="D196" s="199"/>
      <c r="E196" s="200"/>
      <c r="F196" s="198" t="str">
        <f ca="1">IF(C196&lt;&gt;"",P27,"")</f>
        <v>不满足</v>
      </c>
      <c r="G196" s="200"/>
      <c r="H196" s="201">
        <f ca="1">IF(N28&lt;&gt;"",N28*1,0)</f>
        <v>0</v>
      </c>
      <c r="I196" s="201"/>
      <c r="J196" s="201"/>
      <c r="K196" s="201" t="str">
        <f ca="1">IF(H196&lt;&gt;"",Q27,"")</f>
        <v>不满足</v>
      </c>
      <c r="L196" s="201"/>
      <c r="M196" s="201"/>
      <c r="N196" s="230">
        <f ca="1">C196+H196</f>
        <v>0</v>
      </c>
      <c r="O196" s="231"/>
      <c r="AP196" s="124"/>
      <c r="AQ196" s="124"/>
      <c r="AR196" s="124"/>
      <c r="AS196" s="124"/>
      <c r="AT196" s="124"/>
      <c r="AU196" s="124"/>
      <c r="AV196" s="124"/>
      <c r="AW196" s="124"/>
      <c r="AX196" s="124"/>
      <c r="AY196" s="124"/>
      <c r="AZ196" s="124"/>
      <c r="BA196" s="124"/>
      <c r="BB196" s="124"/>
      <c r="BC196" s="124"/>
      <c r="BD196" s="124"/>
      <c r="BE196" s="124"/>
      <c r="BF196" s="124"/>
      <c r="BG196" s="124"/>
      <c r="BH196" s="124"/>
    </row>
    <row r="197" ht="27" customHeight="1" spans="1:60">
      <c r="A197" s="33"/>
      <c r="B197" s="202" t="s">
        <v>259</v>
      </c>
      <c r="C197" s="203" t="s">
        <v>260</v>
      </c>
      <c r="D197" s="204"/>
      <c r="E197" s="205" t="s">
        <v>261</v>
      </c>
      <c r="F197" s="203" t="s">
        <v>262</v>
      </c>
      <c r="G197" s="206"/>
      <c r="H197" s="203" t="s">
        <v>263</v>
      </c>
      <c r="I197" s="204"/>
      <c r="J197" s="203" t="s">
        <v>264</v>
      </c>
      <c r="K197" s="204"/>
      <c r="L197" s="232" t="s">
        <v>265</v>
      </c>
      <c r="M197" s="233"/>
      <c r="N197" s="234" t="s">
        <v>266</v>
      </c>
      <c r="O197" s="235" t="s">
        <v>267</v>
      </c>
      <c r="AP197" s="124"/>
      <c r="AQ197" s="124"/>
      <c r="AR197" s="124"/>
      <c r="AS197" s="124"/>
      <c r="AT197" s="124"/>
      <c r="AU197" s="124"/>
      <c r="AV197" s="124"/>
      <c r="AW197" s="124"/>
      <c r="AX197" s="124"/>
      <c r="AY197" s="124"/>
      <c r="AZ197" s="124"/>
      <c r="BA197" s="124"/>
      <c r="BB197" s="124"/>
      <c r="BC197" s="124"/>
      <c r="BD197" s="124"/>
      <c r="BE197" s="124"/>
      <c r="BF197" s="124"/>
      <c r="BG197" s="124"/>
      <c r="BH197" s="124"/>
    </row>
    <row r="198" ht="27" customHeight="1" spans="1:60">
      <c r="A198" s="33"/>
      <c r="B198" s="207"/>
      <c r="C198" s="198">
        <f>IF(C32&lt;&gt;"",3,0)</f>
        <v>0</v>
      </c>
      <c r="D198" s="200"/>
      <c r="E198" s="201" t="str">
        <f ca="1">IF(OR(AND(N25&lt;&gt;"",N25&gt;=40),AND(C198&lt;&gt;"",C198&gt;1)),"满足","不满足")</f>
        <v>不满足</v>
      </c>
      <c r="F198" s="198">
        <f>IF(SUM(P35:S35)&gt;0,P35,0)</f>
        <v>0</v>
      </c>
      <c r="G198" s="200"/>
      <c r="H198" s="198" t="str">
        <f>IF(OR(SUM(P35:R35)&lt;6,S35&gt;0),"不满足","满足")</f>
        <v>不满足</v>
      </c>
      <c r="I198" s="200"/>
      <c r="J198" s="198" t="str">
        <f>IF(C37&lt;&gt;"",IF(OR(AND(OR(K29="二级教学单位负责人",K29="“双肩挑”人员",K29="非教学单位人员"),P37&gt;0),P37&gt;1),"满足","不满足"),"不满足")</f>
        <v>不满足</v>
      </c>
      <c r="K198" s="200"/>
      <c r="L198" s="236" t="str">
        <f>IF(K29&lt;&gt;"",IF(OR(OR(K29="“双肩挑”人员",K29="非教学单位人员"),P41&gt;19),"满足","不满足"),"不满足")</f>
        <v>不满足</v>
      </c>
      <c r="M198" s="237"/>
      <c r="N198" s="238">
        <f>IF(P47&lt;&gt;"",IF(P47&gt;5,5,IF(P47&lt;=0,0,P47)),0)</f>
        <v>0</v>
      </c>
      <c r="O198" s="238" t="str">
        <f>IF(K29&lt;&gt;"",Q47,"不满足")</f>
        <v>不满足</v>
      </c>
      <c r="AP198" s="124"/>
      <c r="AQ198" s="124"/>
      <c r="AR198" s="124"/>
      <c r="AS198" s="124"/>
      <c r="AT198" s="124"/>
      <c r="AU198" s="124"/>
      <c r="AV198" s="124"/>
      <c r="AW198" s="124"/>
      <c r="AX198" s="124"/>
      <c r="AY198" s="124"/>
      <c r="AZ198" s="124"/>
      <c r="BA198" s="124"/>
      <c r="BB198" s="124"/>
      <c r="BC198" s="124"/>
      <c r="BD198" s="124"/>
      <c r="BE198" s="124"/>
      <c r="BF198" s="124"/>
      <c r="BG198" s="124"/>
      <c r="BH198" s="124"/>
    </row>
    <row r="199" ht="27" customHeight="1" spans="1:60">
      <c r="A199" s="33"/>
      <c r="B199" s="207"/>
      <c r="C199" s="208" t="s">
        <v>62</v>
      </c>
      <c r="D199" s="209"/>
      <c r="E199" s="205" t="s">
        <v>63</v>
      </c>
      <c r="F199" s="210" t="s">
        <v>268</v>
      </c>
      <c r="G199" s="211"/>
      <c r="H199" s="203" t="s">
        <v>269</v>
      </c>
      <c r="I199" s="239"/>
      <c r="J199" s="239"/>
      <c r="K199" s="239"/>
      <c r="L199" s="203" t="s">
        <v>80</v>
      </c>
      <c r="M199" s="239"/>
      <c r="N199" s="240" t="s">
        <v>270</v>
      </c>
      <c r="O199" s="241"/>
      <c r="AP199" s="124"/>
      <c r="AQ199" s="124"/>
      <c r="AR199" s="124"/>
      <c r="AS199" s="124"/>
      <c r="AT199" s="124"/>
      <c r="AU199" s="124"/>
      <c r="AV199" s="124"/>
      <c r="AW199" s="124"/>
      <c r="AX199" s="124"/>
      <c r="AY199" s="124"/>
      <c r="AZ199" s="124"/>
      <c r="BA199" s="124"/>
      <c r="BB199" s="124"/>
      <c r="BC199" s="124"/>
      <c r="BD199" s="124"/>
      <c r="BE199" s="124"/>
      <c r="BF199" s="124"/>
      <c r="BG199" s="124"/>
      <c r="BH199" s="124"/>
    </row>
    <row r="200" ht="27" customHeight="1" spans="1:60">
      <c r="A200" s="33"/>
      <c r="B200" s="212"/>
      <c r="C200" s="198">
        <f>IF(AND(P51&lt;&gt;"",P51&gt;0),P51,0)</f>
        <v>0</v>
      </c>
      <c r="D200" s="200"/>
      <c r="E200" s="201" t="str">
        <f>IF(K29&lt;&gt;"",Q51,"不满足")</f>
        <v>不满足</v>
      </c>
      <c r="F200" s="198">
        <f>IF(SUM(P53:Q53)&gt;0,SUM(P53:Q53),0)</f>
        <v>0</v>
      </c>
      <c r="G200" s="200"/>
      <c r="H200" s="198" t="str">
        <f>IF(F200&lt;&gt;"",IF(P53&gt;0,"满足","不满足"),"")</f>
        <v>不满足</v>
      </c>
      <c r="I200" s="199"/>
      <c r="J200" s="199"/>
      <c r="K200" s="199"/>
      <c r="L200" s="238">
        <f>IF(P69&gt;0,P69,0)</f>
        <v>0</v>
      </c>
      <c r="M200" s="242"/>
      <c r="N200" s="243">
        <f>C198+F198+N198+C200+F200+L200</f>
        <v>0</v>
      </c>
      <c r="O200" s="243"/>
      <c r="AP200" s="124"/>
      <c r="AQ200" s="124"/>
      <c r="AR200" s="124"/>
      <c r="AS200" s="124"/>
      <c r="AT200" s="124"/>
      <c r="AU200" s="124"/>
      <c r="AV200" s="124"/>
      <c r="AW200" s="124"/>
      <c r="AX200" s="124"/>
      <c r="AY200" s="124"/>
      <c r="AZ200" s="124"/>
      <c r="BA200" s="124"/>
      <c r="BB200" s="124"/>
      <c r="BC200" s="124"/>
      <c r="BD200" s="124"/>
      <c r="BE200" s="124"/>
      <c r="BF200" s="124"/>
      <c r="BG200" s="124"/>
      <c r="BH200" s="124"/>
    </row>
    <row r="201" ht="27" customHeight="1" spans="1:60">
      <c r="A201" s="33"/>
      <c r="B201" s="202" t="s">
        <v>271</v>
      </c>
      <c r="C201" s="203" t="s">
        <v>272</v>
      </c>
      <c r="D201" s="204"/>
      <c r="E201" s="205" t="s">
        <v>273</v>
      </c>
      <c r="F201" s="203" t="s">
        <v>274</v>
      </c>
      <c r="G201" s="206"/>
      <c r="H201" s="203" t="s">
        <v>275</v>
      </c>
      <c r="I201" s="204"/>
      <c r="J201" s="205" t="s">
        <v>276</v>
      </c>
      <c r="K201" s="244" t="s">
        <v>277</v>
      </c>
      <c r="L201" s="232" t="s">
        <v>278</v>
      </c>
      <c r="M201" s="245"/>
      <c r="N201" s="234" t="s">
        <v>279</v>
      </c>
      <c r="O201" s="235" t="s">
        <v>280</v>
      </c>
      <c r="P201" s="114" t="s">
        <v>281</v>
      </c>
      <c r="Q201" s="114" t="s">
        <v>282</v>
      </c>
      <c r="R201" s="114"/>
      <c r="S201" s="252"/>
      <c r="T201" s="114"/>
      <c r="U201" s="114"/>
      <c r="V201" s="114"/>
      <c r="AP201" s="124"/>
      <c r="AQ201" s="124"/>
      <c r="AR201" s="124"/>
      <c r="AS201" s="124"/>
      <c r="AT201" s="124"/>
      <c r="AU201" s="124"/>
      <c r="AV201" s="124"/>
      <c r="AW201" s="124"/>
      <c r="AX201" s="124"/>
      <c r="AY201" s="124"/>
      <c r="AZ201" s="124"/>
      <c r="BA201" s="124"/>
      <c r="BB201" s="124"/>
      <c r="BC201" s="124"/>
      <c r="BD201" s="124"/>
      <c r="BE201" s="124"/>
      <c r="BF201" s="124"/>
      <c r="BG201" s="124"/>
      <c r="BH201" s="124"/>
    </row>
    <row r="202" ht="27" customHeight="1" spans="1:60">
      <c r="A202" s="33"/>
      <c r="B202" s="207"/>
      <c r="C202" s="198">
        <f>IF(M85&lt;&gt;"",M85,0)</f>
        <v>0</v>
      </c>
      <c r="D202" s="200"/>
      <c r="E202" s="201">
        <f>IF(M90&lt;&gt;"",M90,0)</f>
        <v>0</v>
      </c>
      <c r="F202" s="198" t="str">
        <f>IF(OR(SUM(AB81:AB84)&gt;=3,SUM(AB88:AD89)&gt;0),"满足","不满足")</f>
        <v>不满足</v>
      </c>
      <c r="G202" s="200"/>
      <c r="H202" s="198">
        <f>IF(M98&lt;&gt;"",M98,0)</f>
        <v>0</v>
      </c>
      <c r="I202" s="200"/>
      <c r="J202" s="201">
        <f>IF(M103&lt;&gt;"",M103,0)</f>
        <v>0</v>
      </c>
      <c r="K202" s="201">
        <f>IF(M109&lt;&gt;"",M109,0)</f>
        <v>0</v>
      </c>
      <c r="L202" s="236" t="str">
        <f>IF(OR(SUM(Y93:AB97)&gt;0,SUM(V101:Y102)&gt;0),"满足","不满足")</f>
        <v>不满足</v>
      </c>
      <c r="M202" s="237"/>
      <c r="N202" s="238">
        <f>IF(M115&lt;&gt;"",M115,0)</f>
        <v>0</v>
      </c>
      <c r="O202" s="238" t="str">
        <f>IF(SUM(V112:V114)&gt;0,"满足","不满足")</f>
        <v>不满足</v>
      </c>
      <c r="P202" s="30">
        <f>IF(SUM(AB81:AB84)&gt;=3,1,0)</f>
        <v>0</v>
      </c>
      <c r="Q202" s="30">
        <f>IF(SUM(AB88:AD89)&gt;0,1,0)</f>
        <v>0</v>
      </c>
      <c r="S202" s="30"/>
      <c r="AP202" s="124"/>
      <c r="AQ202" s="124"/>
      <c r="AR202" s="124"/>
      <c r="AS202" s="124"/>
      <c r="AT202" s="124"/>
      <c r="AU202" s="124"/>
      <c r="AV202" s="124"/>
      <c r="AW202" s="124"/>
      <c r="AX202" s="124"/>
      <c r="AY202" s="124"/>
      <c r="AZ202" s="124"/>
      <c r="BA202" s="124"/>
      <c r="BB202" s="124"/>
      <c r="BC202" s="124"/>
      <c r="BD202" s="124"/>
      <c r="BE202" s="124"/>
      <c r="BF202" s="124"/>
      <c r="BG202" s="124"/>
      <c r="BH202" s="124"/>
    </row>
    <row r="203" ht="27" customHeight="1" spans="1:60">
      <c r="A203" s="33"/>
      <c r="B203" s="207"/>
      <c r="C203" s="210" t="s">
        <v>283</v>
      </c>
      <c r="D203" s="209"/>
      <c r="E203" s="213" t="s">
        <v>284</v>
      </c>
      <c r="F203" s="210" t="s">
        <v>285</v>
      </c>
      <c r="G203" s="209"/>
      <c r="H203" s="214" t="s">
        <v>286</v>
      </c>
      <c r="I203" s="246"/>
      <c r="J203" s="210" t="s">
        <v>287</v>
      </c>
      <c r="K203" s="209"/>
      <c r="L203" s="210" t="s">
        <v>288</v>
      </c>
      <c r="M203" s="209"/>
      <c r="N203" s="247" t="s">
        <v>289</v>
      </c>
      <c r="O203" s="248"/>
      <c r="AP203" s="124"/>
      <c r="AQ203" s="124"/>
      <c r="AR203" s="124"/>
      <c r="AS203" s="124"/>
      <c r="AT203" s="124"/>
      <c r="AU203" s="124"/>
      <c r="AV203" s="124"/>
      <c r="AW203" s="124"/>
      <c r="AX203" s="124"/>
      <c r="AY203" s="124"/>
      <c r="AZ203" s="124"/>
      <c r="BA203" s="124"/>
      <c r="BB203" s="124"/>
      <c r="BC203" s="124"/>
      <c r="BD203" s="124"/>
      <c r="BE203" s="124"/>
      <c r="BF203" s="124"/>
      <c r="BG203" s="124"/>
      <c r="BH203" s="124"/>
    </row>
    <row r="204" ht="27" customHeight="1" spans="1:60">
      <c r="A204" s="33"/>
      <c r="B204" s="207"/>
      <c r="C204" s="215">
        <f>IF(M120&lt;&gt;"",M120,0)</f>
        <v>0</v>
      </c>
      <c r="D204" s="216"/>
      <c r="E204" s="217" t="str">
        <f>IF(SUM(V118:V119)&gt;0,"满足","不满足")</f>
        <v>不满足</v>
      </c>
      <c r="F204" s="215">
        <f>IF(AND(M125="",M129="",M133=""),0,M125+M129+M133)</f>
        <v>0</v>
      </c>
      <c r="G204" s="216"/>
      <c r="H204" s="208" t="str">
        <f>IF(OR(SUM(Q123:S124)&gt;0,R128&gt;0),"满足","不满足")</f>
        <v>不满足</v>
      </c>
      <c r="I204" s="209"/>
      <c r="J204" s="215">
        <f>IF(M184&lt;&gt;"",M184,0)</f>
        <v>0</v>
      </c>
      <c r="K204" s="216"/>
      <c r="L204" s="215">
        <f>IF(M139&lt;&gt;"",M139,0)</f>
        <v>0</v>
      </c>
      <c r="M204" s="216"/>
      <c r="N204" s="208" t="str">
        <f>IF(SUM(V136:V138)&gt;0,"满足","不满足")</f>
        <v>不满足</v>
      </c>
      <c r="O204" s="209"/>
      <c r="AP204" s="124"/>
      <c r="AQ204" s="124"/>
      <c r="AR204" s="124"/>
      <c r="AS204" s="124"/>
      <c r="AT204" s="124"/>
      <c r="AU204" s="124"/>
      <c r="AV204" s="124"/>
      <c r="AW204" s="124"/>
      <c r="AX204" s="124"/>
      <c r="AY204" s="124"/>
      <c r="AZ204" s="124"/>
      <c r="BA204" s="124"/>
      <c r="BB204" s="124"/>
      <c r="BC204" s="124"/>
      <c r="BD204" s="124"/>
      <c r="BE204" s="124"/>
      <c r="BF204" s="124"/>
      <c r="BG204" s="124"/>
      <c r="BH204" s="124"/>
    </row>
    <row r="205" ht="27" customHeight="1" spans="1:60">
      <c r="A205" s="33"/>
      <c r="B205" s="207"/>
      <c r="C205" s="203" t="s">
        <v>290</v>
      </c>
      <c r="D205" s="204"/>
      <c r="E205" s="218" t="s">
        <v>291</v>
      </c>
      <c r="F205" s="203" t="s">
        <v>292</v>
      </c>
      <c r="G205" s="206"/>
      <c r="H205" s="203" t="s">
        <v>293</v>
      </c>
      <c r="I205" s="204"/>
      <c r="J205" s="203" t="s">
        <v>294</v>
      </c>
      <c r="K205" s="204"/>
      <c r="L205" s="232" t="s">
        <v>295</v>
      </c>
      <c r="M205" s="245"/>
      <c r="N205" s="234" t="s">
        <v>296</v>
      </c>
      <c r="O205" s="235" t="s">
        <v>297</v>
      </c>
      <c r="P205" s="114"/>
      <c r="Q205" s="114"/>
      <c r="R205" s="114"/>
      <c r="S205" s="252"/>
      <c r="T205" s="114"/>
      <c r="U205" s="114"/>
      <c r="V205" s="114"/>
      <c r="AP205" s="124"/>
      <c r="AQ205" s="124"/>
      <c r="AR205" s="124"/>
      <c r="AS205" s="124"/>
      <c r="AT205" s="124"/>
      <c r="AU205" s="124"/>
      <c r="AV205" s="124"/>
      <c r="AW205" s="124"/>
      <c r="AX205" s="124"/>
      <c r="AY205" s="124"/>
      <c r="AZ205" s="124"/>
      <c r="BA205" s="124"/>
      <c r="BB205" s="124"/>
      <c r="BC205" s="124"/>
      <c r="BD205" s="124"/>
      <c r="BE205" s="124"/>
      <c r="BF205" s="124"/>
      <c r="BG205" s="124"/>
      <c r="BH205" s="124"/>
    </row>
    <row r="206" ht="27" customHeight="1" spans="1:60">
      <c r="A206" s="33"/>
      <c r="B206" s="207"/>
      <c r="C206" s="198">
        <f>M144</f>
        <v>0</v>
      </c>
      <c r="D206" s="200"/>
      <c r="E206" s="201" t="str">
        <f>IF(SUM(U142:U143)&gt;0,"满足","不满足")</f>
        <v>不满足</v>
      </c>
      <c r="F206" s="198">
        <f>M150</f>
        <v>0</v>
      </c>
      <c r="G206" s="200"/>
      <c r="H206" s="198" t="str">
        <f>IF(OR(SUM(U147:U149)&gt;0,SUM(V147:V149)&gt;0,SUM(W147:W149)&gt;0),"满足","不满足")</f>
        <v>不满足</v>
      </c>
      <c r="I206" s="200"/>
      <c r="J206" s="198">
        <f>M156</f>
        <v>0</v>
      </c>
      <c r="K206" s="200"/>
      <c r="L206" s="236" t="str">
        <f>IF(SUM(S153:V155)&gt;1,"满足","不满足")</f>
        <v>不满足</v>
      </c>
      <c r="M206" s="237"/>
      <c r="N206" s="238">
        <f>M167</f>
        <v>0</v>
      </c>
      <c r="O206" s="238" t="str">
        <f>IF(SUM(R164:R166)&gt;1,"满足","不满足")</f>
        <v>不满足</v>
      </c>
      <c r="P206" s="30"/>
      <c r="Q206" s="30"/>
      <c r="S206" s="30"/>
      <c r="AP206" s="124"/>
      <c r="AQ206" s="124"/>
      <c r="AR206" s="124"/>
      <c r="AS206" s="124"/>
      <c r="AT206" s="124"/>
      <c r="AU206" s="124"/>
      <c r="AV206" s="124"/>
      <c r="AW206" s="124"/>
      <c r="AX206" s="124"/>
      <c r="AY206" s="124"/>
      <c r="AZ206" s="124"/>
      <c r="BA206" s="124"/>
      <c r="BB206" s="124"/>
      <c r="BC206" s="124"/>
      <c r="BD206" s="124"/>
      <c r="BE206" s="124"/>
      <c r="BF206" s="124"/>
      <c r="BG206" s="124"/>
      <c r="BH206" s="124"/>
    </row>
    <row r="207" ht="27" customHeight="1" spans="1:60">
      <c r="A207" s="33"/>
      <c r="B207" s="207"/>
      <c r="C207" s="210" t="s">
        <v>298</v>
      </c>
      <c r="D207" s="209"/>
      <c r="E207" s="213" t="s">
        <v>299</v>
      </c>
      <c r="F207" s="219" t="s">
        <v>300</v>
      </c>
      <c r="G207" s="220"/>
      <c r="H207" s="210" t="s">
        <v>301</v>
      </c>
      <c r="I207" s="209"/>
      <c r="J207" s="210" t="s">
        <v>302</v>
      </c>
      <c r="K207" s="209"/>
      <c r="L207" s="214" t="s">
        <v>303</v>
      </c>
      <c r="M207" s="246"/>
      <c r="N207" s="240" t="s">
        <v>304</v>
      </c>
      <c r="O207" s="241"/>
      <c r="AP207" s="124"/>
      <c r="AQ207" s="124"/>
      <c r="AR207" s="124"/>
      <c r="AS207" s="124"/>
      <c r="AT207" s="124"/>
      <c r="AU207" s="124"/>
      <c r="AV207" s="124"/>
      <c r="AW207" s="124"/>
      <c r="AX207" s="124"/>
      <c r="AY207" s="124"/>
      <c r="AZ207" s="124"/>
      <c r="BA207" s="124"/>
      <c r="BB207" s="124"/>
      <c r="BC207" s="124"/>
      <c r="BD207" s="124"/>
      <c r="BE207" s="124"/>
      <c r="BF207" s="124"/>
      <c r="BG207" s="124"/>
      <c r="BH207" s="124"/>
    </row>
    <row r="208" ht="27" customHeight="1" spans="1:60">
      <c r="A208" s="33"/>
      <c r="B208" s="212"/>
      <c r="C208" s="215">
        <f>M161</f>
        <v>0</v>
      </c>
      <c r="D208" s="216"/>
      <c r="E208" s="217" t="str">
        <f>IF(SUM(R159:R160)&gt;0,"满足","不满足")</f>
        <v>不满足</v>
      </c>
      <c r="F208" s="221">
        <f>M174</f>
        <v>0</v>
      </c>
      <c r="G208" s="216"/>
      <c r="H208" s="215" t="str">
        <f>IF(SUM(W170:W173)&gt;0,"满足","不满足")</f>
        <v>不满足</v>
      </c>
      <c r="I208" s="216"/>
      <c r="J208" s="215">
        <f>M179</f>
        <v>0</v>
      </c>
      <c r="K208" s="216"/>
      <c r="L208" s="215" t="str">
        <f>IF(SUM(R177:R178)&gt;0,"满足","不满足")</f>
        <v>不满足</v>
      </c>
      <c r="M208" s="216"/>
      <c r="N208" s="249">
        <f>C202+E202+H202+J202+K202+N202+C204+F204+J204+L204+C206+F206+J206+N206+C208+F208+J208</f>
        <v>0</v>
      </c>
      <c r="O208" s="250"/>
      <c r="AP208" s="124"/>
      <c r="AQ208" s="124"/>
      <c r="AR208" s="124"/>
      <c r="AS208" s="124"/>
      <c r="AT208" s="124"/>
      <c r="AU208" s="124"/>
      <c r="AV208" s="124"/>
      <c r="AW208" s="124"/>
      <c r="AX208" s="124"/>
      <c r="AY208" s="124"/>
      <c r="AZ208" s="124"/>
      <c r="BA208" s="124"/>
      <c r="BB208" s="124"/>
      <c r="BC208" s="124"/>
      <c r="BD208" s="124"/>
      <c r="BE208" s="124"/>
      <c r="BF208" s="124"/>
      <c r="BG208" s="124"/>
      <c r="BH208" s="124"/>
    </row>
    <row r="209" ht="27" customHeight="1" spans="1:60">
      <c r="A209" s="33"/>
      <c r="B209" s="207" t="s">
        <v>305</v>
      </c>
      <c r="C209" s="222" t="s">
        <v>306</v>
      </c>
      <c r="D209" s="216"/>
      <c r="E209" s="210" t="s">
        <v>270</v>
      </c>
      <c r="F209" s="209"/>
      <c r="G209" s="210" t="s">
        <v>304</v>
      </c>
      <c r="H209" s="209"/>
      <c r="I209" s="222" t="s">
        <v>307</v>
      </c>
      <c r="J209" s="216"/>
      <c r="K209" s="210" t="s">
        <v>308</v>
      </c>
      <c r="L209" s="219"/>
      <c r="M209" s="220"/>
      <c r="N209" s="210" t="s">
        <v>309</v>
      </c>
      <c r="O209" s="209"/>
      <c r="P209" s="121" t="s">
        <v>310</v>
      </c>
      <c r="Q209" s="121" t="s">
        <v>311</v>
      </c>
      <c r="R209" s="121" t="s">
        <v>312</v>
      </c>
      <c r="S209" s="122" t="s">
        <v>313</v>
      </c>
      <c r="T209" s="123"/>
      <c r="AP209" s="124"/>
      <c r="AQ209" s="124"/>
      <c r="AR209" s="124"/>
      <c r="AS209" s="124"/>
      <c r="AT209" s="124"/>
      <c r="AU209" s="124"/>
      <c r="AV209" s="124"/>
      <c r="AW209" s="124"/>
      <c r="AX209" s="124"/>
      <c r="AY209" s="124"/>
      <c r="AZ209" s="124"/>
      <c r="BA209" s="124"/>
      <c r="BB209" s="124"/>
      <c r="BC209" s="124"/>
      <c r="BD209" s="124"/>
      <c r="BE209" s="124"/>
      <c r="BF209" s="124"/>
      <c r="BG209" s="124"/>
      <c r="BH209" s="124"/>
    </row>
    <row r="210" ht="27" customHeight="1" spans="1:60">
      <c r="A210" s="33"/>
      <c r="B210" s="212"/>
      <c r="C210" s="215">
        <f ca="1">N196</f>
        <v>0</v>
      </c>
      <c r="D210" s="216"/>
      <c r="E210" s="215">
        <f>N200</f>
        <v>0</v>
      </c>
      <c r="F210" s="216"/>
      <c r="G210" s="215">
        <f>N208</f>
        <v>0</v>
      </c>
      <c r="H210" s="216"/>
      <c r="I210" s="215">
        <f>IF(M192&gt;20,20,M192)</f>
        <v>0</v>
      </c>
      <c r="J210" s="216"/>
      <c r="K210" s="217" t="str">
        <f ca="1">IF(P210&gt;0,"否","是")</f>
        <v>否</v>
      </c>
      <c r="L210" s="217"/>
      <c r="M210" s="217"/>
      <c r="N210" s="217">
        <f>COUNTIF(C201:O208,"满足")</f>
        <v>0</v>
      </c>
      <c r="O210" s="217"/>
      <c r="P210" s="30">
        <f ca="1">COUNTIF(C195:O200,"不满足")</f>
        <v>9</v>
      </c>
      <c r="Q210" s="30">
        <f ca="1">COUNTIF(C195:O200,"满足")</f>
        <v>0</v>
      </c>
      <c r="R210" s="30">
        <f>COUNTIF(C201:O208,"满足")</f>
        <v>0</v>
      </c>
      <c r="S210" s="122"/>
      <c r="T210" s="123"/>
      <c r="AP210" s="124"/>
      <c r="AQ210" s="124"/>
      <c r="AR210" s="124"/>
      <c r="AS210" s="124"/>
      <c r="AT210" s="124"/>
      <c r="AU210" s="124"/>
      <c r="AV210" s="124"/>
      <c r="AW210" s="124"/>
      <c r="AX210" s="124"/>
      <c r="AY210" s="124"/>
      <c r="AZ210" s="124"/>
      <c r="BA210" s="124"/>
      <c r="BB210" s="124"/>
      <c r="BC210" s="124"/>
      <c r="BD210" s="124"/>
      <c r="BE210" s="124"/>
      <c r="BF210" s="124"/>
      <c r="BG210" s="124"/>
      <c r="BH210" s="124"/>
    </row>
    <row r="211" ht="27" customHeight="1" spans="1:60">
      <c r="A211" s="33"/>
      <c r="B211" s="223" t="s">
        <v>314</v>
      </c>
      <c r="C211" s="224"/>
      <c r="D211" s="224"/>
      <c r="E211" s="225"/>
      <c r="F211" s="223" t="str">
        <f ca="1">IF(AND(K210="是",N210&gt;=5),"是","否")</f>
        <v>否</v>
      </c>
      <c r="G211" s="225"/>
      <c r="H211" s="223" t="s">
        <v>315</v>
      </c>
      <c r="I211" s="224"/>
      <c r="J211" s="225"/>
      <c r="K211" s="251">
        <f ca="1">SUM(C210:J210)</f>
        <v>0</v>
      </c>
      <c r="L211" s="251"/>
      <c r="M211" s="251"/>
      <c r="N211" s="251"/>
      <c r="O211" s="251"/>
      <c r="AP211" s="124"/>
      <c r="AQ211" s="124"/>
      <c r="AR211" s="124"/>
      <c r="AS211" s="124"/>
      <c r="AT211" s="124"/>
      <c r="AU211" s="124"/>
      <c r="AV211" s="124"/>
      <c r="AW211" s="124"/>
      <c r="AX211" s="124"/>
      <c r="AY211" s="124"/>
      <c r="AZ211" s="124"/>
      <c r="BA211" s="124"/>
      <c r="BB211" s="124"/>
      <c r="BC211" s="124"/>
      <c r="BD211" s="124"/>
      <c r="BE211" s="124"/>
      <c r="BF211" s="124"/>
      <c r="BG211" s="124"/>
      <c r="BH211" s="124"/>
    </row>
    <row r="212" ht="129" customHeight="1" spans="1:60">
      <c r="A212" s="33"/>
      <c r="B212" s="90" t="s">
        <v>316</v>
      </c>
      <c r="C212" s="226" t="s">
        <v>317</v>
      </c>
      <c r="D212" s="226"/>
      <c r="E212" s="226"/>
      <c r="F212" s="226"/>
      <c r="G212" s="226"/>
      <c r="H212" s="226"/>
      <c r="I212" s="226"/>
      <c r="J212" s="226"/>
      <c r="K212" s="226"/>
      <c r="L212" s="226"/>
      <c r="M212" s="226"/>
      <c r="N212" s="226"/>
      <c r="O212" s="226"/>
      <c r="AP212" s="124"/>
      <c r="AQ212" s="124"/>
      <c r="AR212" s="124"/>
      <c r="AS212" s="124"/>
      <c r="AT212" s="124"/>
      <c r="AU212" s="124"/>
      <c r="AV212" s="124"/>
      <c r="AW212" s="124"/>
      <c r="AX212" s="124"/>
      <c r="AY212" s="124"/>
      <c r="AZ212" s="124"/>
      <c r="BA212" s="124"/>
      <c r="BB212" s="124"/>
      <c r="BC212" s="124"/>
      <c r="BD212" s="124"/>
      <c r="BE212" s="124"/>
      <c r="BF212" s="124"/>
      <c r="BG212" s="124"/>
      <c r="BH212" s="124"/>
    </row>
    <row r="213" ht="129" customHeight="1" spans="1:60">
      <c r="A213" s="33"/>
      <c r="B213" s="90" t="s">
        <v>318</v>
      </c>
      <c r="C213" s="226" t="s">
        <v>319</v>
      </c>
      <c r="D213" s="226"/>
      <c r="E213" s="226"/>
      <c r="F213" s="226"/>
      <c r="G213" s="226"/>
      <c r="H213" s="226"/>
      <c r="I213" s="226"/>
      <c r="J213" s="226"/>
      <c r="K213" s="226"/>
      <c r="L213" s="226"/>
      <c r="M213" s="226"/>
      <c r="N213" s="226"/>
      <c r="O213" s="226"/>
      <c r="AP213" s="124"/>
      <c r="AQ213" s="124"/>
      <c r="AR213" s="124"/>
      <c r="AS213" s="124"/>
      <c r="AT213" s="124"/>
      <c r="AU213" s="124"/>
      <c r="AV213" s="124"/>
      <c r="AW213" s="124"/>
      <c r="AX213" s="124"/>
      <c r="AY213" s="124"/>
      <c r="AZ213" s="124"/>
      <c r="BA213" s="124"/>
      <c r="BB213" s="124"/>
      <c r="BC213" s="124"/>
      <c r="BD213" s="124"/>
      <c r="BE213" s="124"/>
      <c r="BF213" s="124"/>
      <c r="BG213" s="124"/>
      <c r="BH213" s="124"/>
    </row>
    <row r="214" ht="129" customHeight="1" spans="1:60">
      <c r="A214" s="33"/>
      <c r="B214" s="90" t="s">
        <v>320</v>
      </c>
      <c r="C214" s="226" t="s">
        <v>321</v>
      </c>
      <c r="D214" s="226"/>
      <c r="E214" s="226"/>
      <c r="F214" s="226"/>
      <c r="G214" s="226"/>
      <c r="H214" s="226"/>
      <c r="I214" s="226"/>
      <c r="J214" s="226"/>
      <c r="K214" s="226"/>
      <c r="L214" s="226"/>
      <c r="M214" s="226"/>
      <c r="N214" s="226"/>
      <c r="O214" s="226"/>
      <c r="AP214" s="124"/>
      <c r="AQ214" s="124"/>
      <c r="AR214" s="124"/>
      <c r="AS214" s="124"/>
      <c r="AT214" s="124"/>
      <c r="AU214" s="124"/>
      <c r="AV214" s="124"/>
      <c r="AW214" s="124"/>
      <c r="AX214" s="124"/>
      <c r="AY214" s="124"/>
      <c r="AZ214" s="124"/>
      <c r="BA214" s="124"/>
      <c r="BB214" s="124"/>
      <c r="BC214" s="124"/>
      <c r="BD214" s="124"/>
      <c r="BE214" s="124"/>
      <c r="BF214" s="124"/>
      <c r="BG214" s="124"/>
      <c r="BH214" s="124"/>
    </row>
    <row r="215" s="25" customFormat="1" spans="1:72">
      <c r="A215" s="124"/>
      <c r="B215" s="124"/>
      <c r="C215" s="124"/>
      <c r="D215" s="124"/>
      <c r="E215" s="124"/>
      <c r="F215" s="124"/>
      <c r="G215" s="124"/>
      <c r="H215" s="124"/>
      <c r="I215" s="124"/>
      <c r="J215" s="124"/>
      <c r="K215" s="124"/>
      <c r="L215" s="124"/>
      <c r="M215" s="124"/>
      <c r="N215" s="124"/>
      <c r="O215" s="124"/>
      <c r="P215" s="124"/>
      <c r="Q215" s="124"/>
      <c r="R215" s="124"/>
      <c r="S215" s="124"/>
      <c r="T215" s="124"/>
      <c r="U215" s="124"/>
      <c r="V215" s="124"/>
      <c r="W215" s="124"/>
      <c r="X215" s="124"/>
      <c r="Y215" s="124"/>
      <c r="Z215" s="124"/>
      <c r="AA215" s="124"/>
      <c r="AB215" s="124"/>
      <c r="AC215" s="124"/>
      <c r="AD215" s="124"/>
      <c r="AE215" s="124"/>
      <c r="AF215" s="124"/>
      <c r="AG215" s="124"/>
      <c r="AH215" s="124"/>
      <c r="AI215" s="124"/>
      <c r="AJ215" s="124"/>
      <c r="AK215" s="31"/>
      <c r="AL215" s="31"/>
      <c r="AM215" s="31"/>
      <c r="AN215" s="31"/>
      <c r="AO215" s="31"/>
      <c r="AP215" s="124"/>
      <c r="AQ215" s="124"/>
      <c r="AR215" s="124"/>
      <c r="AS215" s="124"/>
      <c r="AT215" s="124"/>
      <c r="AU215" s="124"/>
      <c r="AV215" s="124"/>
      <c r="AW215" s="124"/>
      <c r="AX215" s="124"/>
      <c r="AY215" s="124"/>
      <c r="AZ215" s="124"/>
      <c r="BA215" s="124"/>
      <c r="BB215" s="124"/>
      <c r="BC215" s="124"/>
      <c r="BD215" s="124"/>
      <c r="BE215" s="124"/>
      <c r="BF215" s="124"/>
      <c r="BG215" s="124"/>
      <c r="BH215" s="124"/>
      <c r="BI215" s="32"/>
      <c r="BJ215" s="32"/>
      <c r="BK215" s="32"/>
      <c r="BL215" s="32"/>
      <c r="BM215" s="32"/>
      <c r="BN215" s="32"/>
      <c r="BO215" s="32"/>
      <c r="BP215" s="32"/>
      <c r="BQ215" s="32"/>
      <c r="BR215" s="32"/>
      <c r="BS215" s="32"/>
      <c r="BT215" s="253"/>
    </row>
    <row r="216" s="25" customFormat="1" spans="1:72">
      <c r="A216" s="124"/>
      <c r="B216" s="124"/>
      <c r="C216" s="124"/>
      <c r="D216" s="124"/>
      <c r="E216" s="124"/>
      <c r="F216" s="124"/>
      <c r="G216" s="124"/>
      <c r="H216" s="124"/>
      <c r="I216" s="124"/>
      <c r="J216" s="124"/>
      <c r="K216" s="124"/>
      <c r="L216" s="124"/>
      <c r="M216" s="124"/>
      <c r="N216" s="124"/>
      <c r="O216" s="124"/>
      <c r="P216" s="124"/>
      <c r="Q216" s="124"/>
      <c r="R216" s="124"/>
      <c r="S216" s="124"/>
      <c r="T216" s="124"/>
      <c r="U216" s="124"/>
      <c r="V216" s="124"/>
      <c r="W216" s="124"/>
      <c r="X216" s="124"/>
      <c r="Y216" s="124"/>
      <c r="Z216" s="124"/>
      <c r="AA216" s="124"/>
      <c r="AB216" s="124"/>
      <c r="AC216" s="124"/>
      <c r="AD216" s="124"/>
      <c r="AE216" s="124"/>
      <c r="AF216" s="124"/>
      <c r="AG216" s="124"/>
      <c r="AH216" s="124"/>
      <c r="AI216" s="124"/>
      <c r="AJ216" s="124"/>
      <c r="AK216" s="31"/>
      <c r="AL216" s="31"/>
      <c r="AM216" s="31"/>
      <c r="AN216" s="31"/>
      <c r="AO216" s="31"/>
      <c r="AP216" s="124"/>
      <c r="AQ216" s="124"/>
      <c r="AR216" s="124"/>
      <c r="AS216" s="124"/>
      <c r="AT216" s="124"/>
      <c r="AU216" s="124"/>
      <c r="AV216" s="124"/>
      <c r="AW216" s="124"/>
      <c r="AX216" s="124"/>
      <c r="AY216" s="124"/>
      <c r="AZ216" s="124"/>
      <c r="BA216" s="124"/>
      <c r="BB216" s="124"/>
      <c r="BC216" s="124"/>
      <c r="BD216" s="124"/>
      <c r="BE216" s="124"/>
      <c r="BF216" s="124"/>
      <c r="BG216" s="124"/>
      <c r="BH216" s="124"/>
      <c r="BI216" s="32"/>
      <c r="BJ216" s="32"/>
      <c r="BK216" s="32"/>
      <c r="BL216" s="32"/>
      <c r="BM216" s="32"/>
      <c r="BN216" s="32"/>
      <c r="BO216" s="32"/>
      <c r="BP216" s="32"/>
      <c r="BQ216" s="32"/>
      <c r="BR216" s="32"/>
      <c r="BS216" s="32"/>
      <c r="BT216" s="253"/>
    </row>
    <row r="217" s="25" customFormat="1" spans="1:72">
      <c r="A217" s="124"/>
      <c r="B217" s="124"/>
      <c r="C217" s="124"/>
      <c r="D217" s="124"/>
      <c r="E217" s="124"/>
      <c r="F217" s="124"/>
      <c r="G217" s="124"/>
      <c r="H217" s="124"/>
      <c r="I217" s="124"/>
      <c r="J217" s="124"/>
      <c r="K217" s="124"/>
      <c r="L217" s="124"/>
      <c r="M217" s="124"/>
      <c r="N217" s="124"/>
      <c r="O217" s="124"/>
      <c r="P217" s="124"/>
      <c r="Q217" s="124"/>
      <c r="R217" s="124"/>
      <c r="S217" s="124"/>
      <c r="T217" s="124"/>
      <c r="U217" s="124"/>
      <c r="V217" s="124"/>
      <c r="W217" s="124"/>
      <c r="X217" s="124"/>
      <c r="Y217" s="124"/>
      <c r="Z217" s="124"/>
      <c r="AA217" s="124"/>
      <c r="AB217" s="124"/>
      <c r="AC217" s="124"/>
      <c r="AD217" s="124"/>
      <c r="AE217" s="124"/>
      <c r="AF217" s="124"/>
      <c r="AG217" s="124"/>
      <c r="AH217" s="124"/>
      <c r="AI217" s="124"/>
      <c r="AJ217" s="124"/>
      <c r="AK217" s="31"/>
      <c r="AL217" s="31"/>
      <c r="AM217" s="31"/>
      <c r="AN217" s="31"/>
      <c r="AO217" s="31"/>
      <c r="AP217" s="124"/>
      <c r="AQ217" s="124"/>
      <c r="AR217" s="124"/>
      <c r="AS217" s="124"/>
      <c r="AT217" s="124"/>
      <c r="AU217" s="124"/>
      <c r="AV217" s="124"/>
      <c r="AW217" s="124"/>
      <c r="AX217" s="124"/>
      <c r="AY217" s="124"/>
      <c r="AZ217" s="124"/>
      <c r="BA217" s="124"/>
      <c r="BB217" s="124"/>
      <c r="BI217" s="32"/>
      <c r="BJ217" s="32"/>
      <c r="BK217" s="32"/>
      <c r="BL217" s="32"/>
      <c r="BM217" s="32"/>
      <c r="BN217" s="32"/>
      <c r="BO217" s="32"/>
      <c r="BP217" s="32"/>
      <c r="BQ217" s="32"/>
      <c r="BR217" s="32"/>
      <c r="BS217" s="32"/>
      <c r="BT217" s="253"/>
    </row>
    <row r="218" s="25" customFormat="1" spans="1:72">
      <c r="A218" s="124"/>
      <c r="B218" s="124"/>
      <c r="C218" s="124"/>
      <c r="D218" s="124"/>
      <c r="E218" s="124"/>
      <c r="F218" s="124"/>
      <c r="G218" s="124"/>
      <c r="H218" s="124"/>
      <c r="I218" s="124"/>
      <c r="J218" s="124"/>
      <c r="K218" s="124"/>
      <c r="L218" s="124"/>
      <c r="M218" s="124"/>
      <c r="N218" s="124"/>
      <c r="O218" s="124"/>
      <c r="P218" s="124"/>
      <c r="Q218" s="124"/>
      <c r="R218" s="124"/>
      <c r="S218" s="124"/>
      <c r="T218" s="124"/>
      <c r="U218" s="124"/>
      <c r="V218" s="124"/>
      <c r="W218" s="124"/>
      <c r="X218" s="124"/>
      <c r="Y218" s="124"/>
      <c r="Z218" s="124"/>
      <c r="AA218" s="124"/>
      <c r="AB218" s="124"/>
      <c r="AC218" s="124"/>
      <c r="AD218" s="124"/>
      <c r="AE218" s="124"/>
      <c r="AF218" s="124"/>
      <c r="AG218" s="124"/>
      <c r="AH218" s="124"/>
      <c r="AI218" s="124"/>
      <c r="AJ218" s="124"/>
      <c r="AK218" s="31"/>
      <c r="AL218" s="31"/>
      <c r="AM218" s="31"/>
      <c r="AN218" s="31"/>
      <c r="AO218" s="31"/>
      <c r="AP218" s="124"/>
      <c r="AQ218" s="124"/>
      <c r="AR218" s="124"/>
      <c r="AS218" s="124"/>
      <c r="AT218" s="124"/>
      <c r="AU218" s="124"/>
      <c r="AV218" s="124"/>
      <c r="AW218" s="124"/>
      <c r="AX218" s="124"/>
      <c r="AY218" s="124"/>
      <c r="AZ218" s="124"/>
      <c r="BA218" s="124"/>
      <c r="BB218" s="124"/>
      <c r="BI218" s="32"/>
      <c r="BJ218" s="32"/>
      <c r="BK218" s="32"/>
      <c r="BL218" s="32"/>
      <c r="BM218" s="32"/>
      <c r="BN218" s="32"/>
      <c r="BO218" s="32"/>
      <c r="BP218" s="32"/>
      <c r="BQ218" s="32"/>
      <c r="BR218" s="32"/>
      <c r="BS218" s="32"/>
      <c r="BT218" s="253"/>
    </row>
    <row r="219" s="25" customFormat="1" spans="1:72">
      <c r="A219" s="124"/>
      <c r="B219" s="124"/>
      <c r="C219" s="124"/>
      <c r="D219" s="124"/>
      <c r="E219" s="124"/>
      <c r="F219" s="124"/>
      <c r="G219" s="124"/>
      <c r="H219" s="124"/>
      <c r="I219" s="124"/>
      <c r="J219" s="124"/>
      <c r="K219" s="124"/>
      <c r="L219" s="124"/>
      <c r="M219" s="124"/>
      <c r="N219" s="124"/>
      <c r="O219" s="124"/>
      <c r="P219" s="124"/>
      <c r="Q219" s="124"/>
      <c r="R219" s="124"/>
      <c r="S219" s="124"/>
      <c r="T219" s="124"/>
      <c r="U219" s="124"/>
      <c r="V219" s="124"/>
      <c r="W219" s="124"/>
      <c r="X219" s="124"/>
      <c r="Y219" s="124"/>
      <c r="Z219" s="124"/>
      <c r="AA219" s="124"/>
      <c r="AB219" s="124"/>
      <c r="AC219" s="124"/>
      <c r="AD219" s="124"/>
      <c r="AE219" s="124"/>
      <c r="AF219" s="124"/>
      <c r="AG219" s="124"/>
      <c r="AH219" s="124"/>
      <c r="AI219" s="124"/>
      <c r="AJ219" s="124"/>
      <c r="AK219" s="31"/>
      <c r="AL219" s="31"/>
      <c r="AM219" s="31"/>
      <c r="AN219" s="31"/>
      <c r="AO219" s="31"/>
      <c r="AP219" s="124"/>
      <c r="AQ219" s="124"/>
      <c r="AR219" s="124"/>
      <c r="AS219" s="124"/>
      <c r="AT219" s="124"/>
      <c r="AU219" s="124"/>
      <c r="AV219" s="124"/>
      <c r="AW219" s="124"/>
      <c r="AX219" s="124"/>
      <c r="AY219" s="124"/>
      <c r="AZ219" s="124"/>
      <c r="BA219" s="124"/>
      <c r="BB219" s="124"/>
      <c r="BI219" s="32"/>
      <c r="BJ219" s="32"/>
      <c r="BK219" s="32"/>
      <c r="BL219" s="32"/>
      <c r="BM219" s="32"/>
      <c r="BN219" s="32"/>
      <c r="BO219" s="32"/>
      <c r="BP219" s="32"/>
      <c r="BQ219" s="32"/>
      <c r="BR219" s="32"/>
      <c r="BS219" s="32"/>
      <c r="BT219" s="253"/>
    </row>
    <row r="220" s="25" customFormat="1" spans="1:72">
      <c r="A220" s="124"/>
      <c r="B220" s="124"/>
      <c r="C220" s="124"/>
      <c r="D220" s="124"/>
      <c r="E220" s="124"/>
      <c r="F220" s="124"/>
      <c r="G220" s="124"/>
      <c r="H220" s="124"/>
      <c r="I220" s="124"/>
      <c r="J220" s="124"/>
      <c r="K220" s="124"/>
      <c r="L220" s="124"/>
      <c r="M220" s="124"/>
      <c r="N220" s="124"/>
      <c r="O220" s="124"/>
      <c r="P220" s="124"/>
      <c r="Q220" s="124"/>
      <c r="R220" s="124"/>
      <c r="S220" s="124"/>
      <c r="T220" s="124"/>
      <c r="U220" s="124"/>
      <c r="V220" s="124"/>
      <c r="W220" s="124"/>
      <c r="X220" s="124"/>
      <c r="Y220" s="124"/>
      <c r="Z220" s="124"/>
      <c r="AA220" s="124"/>
      <c r="AB220" s="124"/>
      <c r="AC220" s="124"/>
      <c r="AD220" s="124"/>
      <c r="AE220" s="124"/>
      <c r="AF220" s="124"/>
      <c r="AG220" s="124"/>
      <c r="AH220" s="124"/>
      <c r="AI220" s="124"/>
      <c r="AJ220" s="124"/>
      <c r="AK220" s="31"/>
      <c r="AL220" s="31"/>
      <c r="AM220" s="31"/>
      <c r="AN220" s="31"/>
      <c r="AO220" s="31"/>
      <c r="AP220" s="124"/>
      <c r="AQ220" s="124"/>
      <c r="AR220" s="124"/>
      <c r="AS220" s="124"/>
      <c r="AT220" s="124"/>
      <c r="AU220" s="124"/>
      <c r="AV220" s="124"/>
      <c r="AW220" s="124"/>
      <c r="AX220" s="124"/>
      <c r="AY220" s="124"/>
      <c r="AZ220" s="124"/>
      <c r="BA220" s="124"/>
      <c r="BB220" s="124"/>
      <c r="BI220" s="32"/>
      <c r="BJ220" s="32"/>
      <c r="BK220" s="32"/>
      <c r="BL220" s="32"/>
      <c r="BM220" s="32"/>
      <c r="BN220" s="32"/>
      <c r="BO220" s="32"/>
      <c r="BP220" s="32"/>
      <c r="BQ220" s="32"/>
      <c r="BR220" s="32"/>
      <c r="BS220" s="32"/>
      <c r="BT220" s="253"/>
    </row>
    <row r="221" s="25" customFormat="1" spans="1:72">
      <c r="A221" s="124"/>
      <c r="B221" s="124"/>
      <c r="C221" s="124"/>
      <c r="D221" s="124"/>
      <c r="E221" s="124"/>
      <c r="F221" s="124"/>
      <c r="G221" s="124"/>
      <c r="H221" s="124"/>
      <c r="I221" s="124"/>
      <c r="J221" s="124"/>
      <c r="K221" s="124"/>
      <c r="L221" s="124"/>
      <c r="M221" s="124"/>
      <c r="N221" s="124"/>
      <c r="O221" s="124"/>
      <c r="P221" s="124"/>
      <c r="Q221" s="124"/>
      <c r="R221" s="124"/>
      <c r="S221" s="124"/>
      <c r="T221" s="124"/>
      <c r="U221" s="124"/>
      <c r="V221" s="124"/>
      <c r="W221" s="124"/>
      <c r="X221" s="124"/>
      <c r="Y221" s="124"/>
      <c r="Z221" s="124"/>
      <c r="AA221" s="124"/>
      <c r="AB221" s="124"/>
      <c r="AC221" s="124"/>
      <c r="AD221" s="124"/>
      <c r="AE221" s="124"/>
      <c r="AF221" s="124"/>
      <c r="AG221" s="124"/>
      <c r="AH221" s="124"/>
      <c r="AI221" s="124"/>
      <c r="AJ221" s="124"/>
      <c r="AK221" s="31"/>
      <c r="AL221" s="31"/>
      <c r="AM221" s="31"/>
      <c r="AN221" s="31"/>
      <c r="AO221" s="31"/>
      <c r="AP221" s="124"/>
      <c r="AQ221" s="124"/>
      <c r="AR221" s="124"/>
      <c r="AS221" s="124"/>
      <c r="AT221" s="124"/>
      <c r="AU221" s="124"/>
      <c r="AV221" s="124"/>
      <c r="AW221" s="124"/>
      <c r="AX221" s="124"/>
      <c r="AY221" s="124"/>
      <c r="AZ221" s="124"/>
      <c r="BA221" s="124"/>
      <c r="BB221" s="124"/>
      <c r="BI221" s="32"/>
      <c r="BJ221" s="32"/>
      <c r="BK221" s="32"/>
      <c r="BL221" s="32"/>
      <c r="BM221" s="32"/>
      <c r="BN221" s="32"/>
      <c r="BO221" s="32"/>
      <c r="BP221" s="32"/>
      <c r="BQ221" s="32"/>
      <c r="BR221" s="32"/>
      <c r="BS221" s="32"/>
      <c r="BT221" s="253"/>
    </row>
    <row r="222" s="25" customFormat="1" spans="1:72">
      <c r="A222" s="124"/>
      <c r="B222" s="124"/>
      <c r="C222" s="124"/>
      <c r="D222" s="124"/>
      <c r="E222" s="124"/>
      <c r="F222" s="124"/>
      <c r="G222" s="124"/>
      <c r="H222" s="124"/>
      <c r="I222" s="124"/>
      <c r="J222" s="124"/>
      <c r="K222" s="124"/>
      <c r="L222" s="124"/>
      <c r="M222" s="124"/>
      <c r="N222" s="124"/>
      <c r="O222" s="124"/>
      <c r="P222" s="124"/>
      <c r="Q222" s="124"/>
      <c r="R222" s="124"/>
      <c r="S222" s="124"/>
      <c r="T222" s="124"/>
      <c r="U222" s="124"/>
      <c r="V222" s="124"/>
      <c r="W222" s="124"/>
      <c r="X222" s="124"/>
      <c r="Y222" s="124"/>
      <c r="Z222" s="124"/>
      <c r="AA222" s="124"/>
      <c r="AB222" s="124"/>
      <c r="AC222" s="124"/>
      <c r="AD222" s="124"/>
      <c r="AE222" s="124"/>
      <c r="AF222" s="124"/>
      <c r="AG222" s="124"/>
      <c r="AH222" s="124"/>
      <c r="AI222" s="124"/>
      <c r="AJ222" s="124"/>
      <c r="AK222" s="31"/>
      <c r="AL222" s="31"/>
      <c r="AM222" s="31"/>
      <c r="AN222" s="31"/>
      <c r="AO222" s="31"/>
      <c r="AP222" s="124"/>
      <c r="AQ222" s="124"/>
      <c r="AR222" s="124"/>
      <c r="AS222" s="124"/>
      <c r="AT222" s="124"/>
      <c r="AU222" s="124"/>
      <c r="AV222" s="124"/>
      <c r="AW222" s="124"/>
      <c r="AX222" s="124"/>
      <c r="AY222" s="124"/>
      <c r="AZ222" s="124"/>
      <c r="BA222" s="124"/>
      <c r="BB222" s="124"/>
      <c r="BI222" s="32"/>
      <c r="BJ222" s="32"/>
      <c r="BK222" s="32"/>
      <c r="BL222" s="32"/>
      <c r="BM222" s="32"/>
      <c r="BN222" s="32"/>
      <c r="BO222" s="32"/>
      <c r="BP222" s="32"/>
      <c r="BQ222" s="32"/>
      <c r="BR222" s="32"/>
      <c r="BS222" s="32"/>
      <c r="BT222" s="253"/>
    </row>
    <row r="223" s="25" customFormat="1" spans="1:72">
      <c r="A223" s="124"/>
      <c r="B223" s="124"/>
      <c r="C223" s="124"/>
      <c r="D223" s="124"/>
      <c r="E223" s="124"/>
      <c r="F223" s="124"/>
      <c r="G223" s="124"/>
      <c r="H223" s="124"/>
      <c r="I223" s="124"/>
      <c r="J223" s="124"/>
      <c r="K223" s="124"/>
      <c r="L223" s="124"/>
      <c r="M223" s="124"/>
      <c r="N223" s="124"/>
      <c r="O223" s="124"/>
      <c r="P223" s="124"/>
      <c r="Q223" s="124"/>
      <c r="R223" s="124"/>
      <c r="S223" s="124"/>
      <c r="T223" s="124"/>
      <c r="U223" s="124"/>
      <c r="V223" s="124"/>
      <c r="W223" s="124"/>
      <c r="X223" s="124"/>
      <c r="Y223" s="124"/>
      <c r="Z223" s="124"/>
      <c r="AA223" s="124"/>
      <c r="AB223" s="124"/>
      <c r="AC223" s="124"/>
      <c r="AD223" s="124"/>
      <c r="AE223" s="124"/>
      <c r="AF223" s="124"/>
      <c r="AG223" s="124"/>
      <c r="AH223" s="124"/>
      <c r="AI223" s="124"/>
      <c r="AJ223" s="124"/>
      <c r="AK223" s="31"/>
      <c r="AL223" s="31"/>
      <c r="AM223" s="31"/>
      <c r="AN223" s="31"/>
      <c r="AO223" s="31"/>
      <c r="AP223" s="124"/>
      <c r="AQ223" s="124"/>
      <c r="AR223" s="124"/>
      <c r="AS223" s="124"/>
      <c r="AT223" s="124"/>
      <c r="AU223" s="124"/>
      <c r="AV223" s="124"/>
      <c r="AW223" s="124"/>
      <c r="AX223" s="124"/>
      <c r="AY223" s="124"/>
      <c r="AZ223" s="124"/>
      <c r="BA223" s="124"/>
      <c r="BB223" s="124"/>
      <c r="BI223" s="32"/>
      <c r="BJ223" s="32"/>
      <c r="BK223" s="32"/>
      <c r="BL223" s="32"/>
      <c r="BM223" s="32"/>
      <c r="BN223" s="32"/>
      <c r="BO223" s="32"/>
      <c r="BP223" s="32"/>
      <c r="BQ223" s="32"/>
      <c r="BR223" s="32"/>
      <c r="BS223" s="32"/>
      <c r="BT223" s="253"/>
    </row>
    <row r="224" s="25" customFormat="1" spans="1:72">
      <c r="A224" s="124"/>
      <c r="B224" s="124"/>
      <c r="C224" s="124"/>
      <c r="D224" s="124"/>
      <c r="E224" s="124"/>
      <c r="F224" s="124"/>
      <c r="G224" s="124"/>
      <c r="H224" s="124"/>
      <c r="I224" s="124"/>
      <c r="J224" s="124"/>
      <c r="K224" s="124"/>
      <c r="L224" s="124"/>
      <c r="M224" s="124"/>
      <c r="N224" s="124"/>
      <c r="O224" s="124"/>
      <c r="P224" s="124"/>
      <c r="Q224" s="124"/>
      <c r="R224" s="124"/>
      <c r="S224" s="124"/>
      <c r="T224" s="124"/>
      <c r="U224" s="124"/>
      <c r="V224" s="124"/>
      <c r="W224" s="124"/>
      <c r="X224" s="124"/>
      <c r="Y224" s="124"/>
      <c r="Z224" s="124"/>
      <c r="AA224" s="124"/>
      <c r="AB224" s="124"/>
      <c r="AC224" s="124"/>
      <c r="AD224" s="124"/>
      <c r="AE224" s="124"/>
      <c r="AF224" s="124"/>
      <c r="AG224" s="124"/>
      <c r="AH224" s="124"/>
      <c r="AI224" s="124"/>
      <c r="AJ224" s="124"/>
      <c r="AK224" s="31"/>
      <c r="AL224" s="31"/>
      <c r="AM224" s="31"/>
      <c r="AN224" s="31"/>
      <c r="AO224" s="31"/>
      <c r="AP224" s="124"/>
      <c r="AQ224" s="124"/>
      <c r="AR224" s="124"/>
      <c r="AS224" s="124"/>
      <c r="AT224" s="124"/>
      <c r="AU224" s="124"/>
      <c r="AV224" s="124"/>
      <c r="AW224" s="124"/>
      <c r="AX224" s="124"/>
      <c r="AY224" s="124"/>
      <c r="AZ224" s="124"/>
      <c r="BA224" s="124"/>
      <c r="BB224" s="124"/>
      <c r="BI224" s="32"/>
      <c r="BJ224" s="32"/>
      <c r="BK224" s="32"/>
      <c r="BL224" s="32"/>
      <c r="BM224" s="32"/>
      <c r="BN224" s="32"/>
      <c r="BO224" s="32"/>
      <c r="BP224" s="32"/>
      <c r="BQ224" s="32"/>
      <c r="BR224" s="32"/>
      <c r="BS224" s="32"/>
      <c r="BT224" s="253"/>
    </row>
    <row r="225" s="25" customFormat="1" spans="1:72">
      <c r="A225" s="124"/>
      <c r="B225" s="124"/>
      <c r="C225" s="124"/>
      <c r="D225" s="124"/>
      <c r="E225" s="124"/>
      <c r="F225" s="124"/>
      <c r="G225" s="124"/>
      <c r="H225" s="124"/>
      <c r="I225" s="124"/>
      <c r="J225" s="124"/>
      <c r="K225" s="124"/>
      <c r="L225" s="124"/>
      <c r="M225" s="124"/>
      <c r="N225" s="124"/>
      <c r="O225" s="124"/>
      <c r="P225" s="124"/>
      <c r="Q225" s="124"/>
      <c r="R225" s="124"/>
      <c r="S225" s="124"/>
      <c r="T225" s="124"/>
      <c r="U225" s="124"/>
      <c r="V225" s="124"/>
      <c r="W225" s="124"/>
      <c r="X225" s="124"/>
      <c r="Y225" s="124"/>
      <c r="Z225" s="124"/>
      <c r="AA225" s="124"/>
      <c r="AB225" s="124"/>
      <c r="AC225" s="124"/>
      <c r="AD225" s="124"/>
      <c r="AE225" s="124"/>
      <c r="AF225" s="124"/>
      <c r="AG225" s="124"/>
      <c r="AH225" s="124"/>
      <c r="AI225" s="124"/>
      <c r="AJ225" s="124"/>
      <c r="AK225" s="31"/>
      <c r="AL225" s="31"/>
      <c r="AM225" s="31"/>
      <c r="AN225" s="31"/>
      <c r="AO225" s="31"/>
      <c r="AP225" s="124"/>
      <c r="AQ225" s="124"/>
      <c r="AR225" s="124"/>
      <c r="AS225" s="124"/>
      <c r="AT225" s="124"/>
      <c r="AU225" s="124"/>
      <c r="AV225" s="124"/>
      <c r="AW225" s="124"/>
      <c r="AX225" s="124"/>
      <c r="AY225" s="124"/>
      <c r="AZ225" s="124"/>
      <c r="BA225" s="124"/>
      <c r="BB225" s="124"/>
      <c r="BI225" s="32"/>
      <c r="BJ225" s="32"/>
      <c r="BK225" s="32"/>
      <c r="BL225" s="32"/>
      <c r="BM225" s="32"/>
      <c r="BN225" s="32"/>
      <c r="BO225" s="32"/>
      <c r="BP225" s="32"/>
      <c r="BQ225" s="32"/>
      <c r="BR225" s="32"/>
      <c r="BS225" s="32"/>
      <c r="BT225" s="253"/>
    </row>
    <row r="226" s="25" customFormat="1" spans="1:72">
      <c r="A226" s="124"/>
      <c r="B226" s="124"/>
      <c r="C226" s="124"/>
      <c r="D226" s="124"/>
      <c r="E226" s="124"/>
      <c r="F226" s="124"/>
      <c r="G226" s="124"/>
      <c r="H226" s="124"/>
      <c r="I226" s="124"/>
      <c r="J226" s="124"/>
      <c r="K226" s="124"/>
      <c r="L226" s="124"/>
      <c r="M226" s="124"/>
      <c r="N226" s="124"/>
      <c r="O226" s="124"/>
      <c r="P226" s="124"/>
      <c r="Q226" s="124"/>
      <c r="R226" s="124"/>
      <c r="S226" s="124"/>
      <c r="T226" s="124"/>
      <c r="U226" s="124"/>
      <c r="V226" s="124"/>
      <c r="W226" s="124"/>
      <c r="X226" s="124"/>
      <c r="Y226" s="124"/>
      <c r="Z226" s="124"/>
      <c r="AA226" s="124"/>
      <c r="AB226" s="124"/>
      <c r="AC226" s="124"/>
      <c r="AD226" s="124"/>
      <c r="AE226" s="124"/>
      <c r="AF226" s="124"/>
      <c r="AG226" s="124"/>
      <c r="AH226" s="124"/>
      <c r="AI226" s="124"/>
      <c r="AJ226" s="124"/>
      <c r="AK226" s="31"/>
      <c r="AL226" s="31"/>
      <c r="AM226" s="31"/>
      <c r="AN226" s="31"/>
      <c r="AO226" s="31"/>
      <c r="AP226" s="124"/>
      <c r="AQ226" s="124"/>
      <c r="AR226" s="124"/>
      <c r="AS226" s="124"/>
      <c r="AT226" s="124"/>
      <c r="AU226" s="124"/>
      <c r="AV226" s="124"/>
      <c r="AW226" s="124"/>
      <c r="AX226" s="124"/>
      <c r="AY226" s="124"/>
      <c r="AZ226" s="124"/>
      <c r="BA226" s="124"/>
      <c r="BB226" s="124"/>
      <c r="BI226" s="32"/>
      <c r="BJ226" s="32"/>
      <c r="BK226" s="32"/>
      <c r="BL226" s="32"/>
      <c r="BM226" s="32"/>
      <c r="BN226" s="32"/>
      <c r="BO226" s="32"/>
      <c r="BP226" s="32"/>
      <c r="BQ226" s="32"/>
      <c r="BR226" s="32"/>
      <c r="BS226" s="32"/>
      <c r="BT226" s="253"/>
    </row>
    <row r="227" s="25" customFormat="1" spans="1:72">
      <c r="A227" s="124"/>
      <c r="B227" s="124"/>
      <c r="C227" s="124"/>
      <c r="D227" s="124"/>
      <c r="E227" s="124"/>
      <c r="F227" s="124"/>
      <c r="G227" s="124"/>
      <c r="H227" s="124"/>
      <c r="I227" s="124"/>
      <c r="J227" s="124"/>
      <c r="K227" s="124"/>
      <c r="L227" s="124"/>
      <c r="M227" s="124"/>
      <c r="N227" s="124"/>
      <c r="O227" s="124"/>
      <c r="P227" s="124"/>
      <c r="Q227" s="124"/>
      <c r="R227" s="124"/>
      <c r="S227" s="124"/>
      <c r="T227" s="124"/>
      <c r="U227" s="124"/>
      <c r="V227" s="124"/>
      <c r="W227" s="124"/>
      <c r="X227" s="124"/>
      <c r="Y227" s="124"/>
      <c r="Z227" s="124"/>
      <c r="AA227" s="124"/>
      <c r="AB227" s="124"/>
      <c r="AC227" s="124"/>
      <c r="AD227" s="124"/>
      <c r="AE227" s="124"/>
      <c r="AF227" s="124"/>
      <c r="AG227" s="124"/>
      <c r="AH227" s="124"/>
      <c r="AI227" s="124"/>
      <c r="AJ227" s="124"/>
      <c r="AK227" s="31"/>
      <c r="AL227" s="31"/>
      <c r="AM227" s="31"/>
      <c r="AN227" s="31"/>
      <c r="AO227" s="31"/>
      <c r="AP227" s="124"/>
      <c r="AQ227" s="124"/>
      <c r="AR227" s="124"/>
      <c r="AS227" s="124"/>
      <c r="AT227" s="124"/>
      <c r="AU227" s="124"/>
      <c r="AV227" s="124"/>
      <c r="AW227" s="124"/>
      <c r="AX227" s="124"/>
      <c r="AY227" s="124"/>
      <c r="AZ227" s="124"/>
      <c r="BA227" s="124"/>
      <c r="BB227" s="124"/>
      <c r="BI227" s="32"/>
      <c r="BJ227" s="32"/>
      <c r="BK227" s="32"/>
      <c r="BL227" s="32"/>
      <c r="BM227" s="32"/>
      <c r="BN227" s="32"/>
      <c r="BO227" s="32"/>
      <c r="BP227" s="32"/>
      <c r="BQ227" s="32"/>
      <c r="BR227" s="32"/>
      <c r="BS227" s="32"/>
      <c r="BT227" s="253"/>
    </row>
    <row r="228" s="25" customFormat="1" spans="1:72">
      <c r="A228" s="124"/>
      <c r="B228" s="124"/>
      <c r="C228" s="124"/>
      <c r="D228" s="124"/>
      <c r="E228" s="124"/>
      <c r="F228" s="124"/>
      <c r="G228" s="124"/>
      <c r="H228" s="124"/>
      <c r="I228" s="124"/>
      <c r="J228" s="124"/>
      <c r="K228" s="124"/>
      <c r="L228" s="124"/>
      <c r="M228" s="124"/>
      <c r="N228" s="124"/>
      <c r="O228" s="124"/>
      <c r="P228" s="124"/>
      <c r="Q228" s="124"/>
      <c r="R228" s="124"/>
      <c r="S228" s="124"/>
      <c r="T228" s="124"/>
      <c r="U228" s="124"/>
      <c r="V228" s="124"/>
      <c r="W228" s="124"/>
      <c r="X228" s="124"/>
      <c r="Y228" s="124"/>
      <c r="Z228" s="124"/>
      <c r="AA228" s="124"/>
      <c r="AB228" s="124"/>
      <c r="AC228" s="124"/>
      <c r="AD228" s="124"/>
      <c r="AE228" s="124"/>
      <c r="AF228" s="124"/>
      <c r="AG228" s="124"/>
      <c r="AH228" s="124"/>
      <c r="AI228" s="124"/>
      <c r="AJ228" s="124"/>
      <c r="AK228" s="31"/>
      <c r="AL228" s="31"/>
      <c r="AM228" s="31"/>
      <c r="AN228" s="31"/>
      <c r="AO228" s="31"/>
      <c r="AP228" s="124"/>
      <c r="AQ228" s="124"/>
      <c r="AR228" s="124"/>
      <c r="AS228" s="124"/>
      <c r="AT228" s="124"/>
      <c r="AU228" s="124"/>
      <c r="AV228" s="124"/>
      <c r="AW228" s="124"/>
      <c r="AX228" s="124"/>
      <c r="AY228" s="124"/>
      <c r="AZ228" s="124"/>
      <c r="BA228" s="124"/>
      <c r="BB228" s="124"/>
      <c r="BI228" s="32"/>
      <c r="BJ228" s="32"/>
      <c r="BK228" s="32"/>
      <c r="BL228" s="32"/>
      <c r="BM228" s="32"/>
      <c r="BN228" s="32"/>
      <c r="BO228" s="32"/>
      <c r="BP228" s="32"/>
      <c r="BQ228" s="32"/>
      <c r="BR228" s="32"/>
      <c r="BS228" s="32"/>
      <c r="BT228" s="253"/>
    </row>
    <row r="229" s="25" customFormat="1" spans="1:72">
      <c r="A229" s="124"/>
      <c r="B229" s="124"/>
      <c r="C229" s="124"/>
      <c r="D229" s="124"/>
      <c r="E229" s="124"/>
      <c r="F229" s="124"/>
      <c r="G229" s="124"/>
      <c r="H229" s="124"/>
      <c r="I229" s="124"/>
      <c r="J229" s="124"/>
      <c r="K229" s="124"/>
      <c r="L229" s="124"/>
      <c r="M229" s="124"/>
      <c r="N229" s="124"/>
      <c r="O229" s="124"/>
      <c r="P229" s="124"/>
      <c r="Q229" s="124"/>
      <c r="R229" s="124"/>
      <c r="S229" s="124"/>
      <c r="T229" s="124"/>
      <c r="U229" s="124"/>
      <c r="V229" s="124"/>
      <c r="W229" s="124"/>
      <c r="X229" s="124"/>
      <c r="Y229" s="124"/>
      <c r="Z229" s="124"/>
      <c r="AA229" s="124"/>
      <c r="AB229" s="124"/>
      <c r="AC229" s="124"/>
      <c r="AD229" s="124"/>
      <c r="AE229" s="124"/>
      <c r="AF229" s="124"/>
      <c r="AG229" s="124"/>
      <c r="AH229" s="124"/>
      <c r="AI229" s="124"/>
      <c r="AJ229" s="124"/>
      <c r="AK229" s="31"/>
      <c r="AL229" s="31"/>
      <c r="AM229" s="31"/>
      <c r="AN229" s="31"/>
      <c r="AO229" s="31"/>
      <c r="AP229" s="124"/>
      <c r="AQ229" s="124"/>
      <c r="AR229" s="124"/>
      <c r="AS229" s="124"/>
      <c r="AT229" s="124"/>
      <c r="AU229" s="124"/>
      <c r="AV229" s="124"/>
      <c r="AW229" s="124"/>
      <c r="AX229" s="124"/>
      <c r="AY229" s="124"/>
      <c r="AZ229" s="124"/>
      <c r="BA229" s="124"/>
      <c r="BB229" s="124"/>
      <c r="BI229" s="32"/>
      <c r="BJ229" s="32"/>
      <c r="BK229" s="32"/>
      <c r="BL229" s="32"/>
      <c r="BM229" s="32"/>
      <c r="BN229" s="32"/>
      <c r="BO229" s="32"/>
      <c r="BP229" s="32"/>
      <c r="BQ229" s="32"/>
      <c r="BR229" s="32"/>
      <c r="BS229" s="32"/>
      <c r="BT229" s="253"/>
    </row>
    <row r="230" s="25" customFormat="1" spans="1:72">
      <c r="A230" s="124"/>
      <c r="B230" s="124"/>
      <c r="C230" s="124"/>
      <c r="D230" s="124"/>
      <c r="E230" s="124"/>
      <c r="F230" s="124"/>
      <c r="G230" s="124"/>
      <c r="H230" s="124"/>
      <c r="I230" s="124"/>
      <c r="J230" s="124"/>
      <c r="K230" s="124"/>
      <c r="L230" s="124"/>
      <c r="M230" s="124"/>
      <c r="N230" s="124"/>
      <c r="O230" s="124"/>
      <c r="P230" s="124"/>
      <c r="Q230" s="124"/>
      <c r="R230" s="124"/>
      <c r="S230" s="124"/>
      <c r="T230" s="124"/>
      <c r="U230" s="124"/>
      <c r="V230" s="124"/>
      <c r="W230" s="124"/>
      <c r="X230" s="124"/>
      <c r="Y230" s="124"/>
      <c r="Z230" s="124"/>
      <c r="AA230" s="124"/>
      <c r="AB230" s="124"/>
      <c r="AC230" s="124"/>
      <c r="AD230" s="124"/>
      <c r="AE230" s="124"/>
      <c r="AF230" s="124"/>
      <c r="AG230" s="124"/>
      <c r="AH230" s="124"/>
      <c r="AI230" s="124"/>
      <c r="AJ230" s="124"/>
      <c r="AK230" s="31"/>
      <c r="AL230" s="31"/>
      <c r="AM230" s="31"/>
      <c r="AN230" s="31"/>
      <c r="AO230" s="31"/>
      <c r="AP230" s="124"/>
      <c r="AQ230" s="124"/>
      <c r="AR230" s="124"/>
      <c r="AS230" s="124"/>
      <c r="AT230" s="124"/>
      <c r="AU230" s="124"/>
      <c r="AV230" s="124"/>
      <c r="AW230" s="124"/>
      <c r="AX230" s="124"/>
      <c r="AY230" s="124"/>
      <c r="AZ230" s="124"/>
      <c r="BA230" s="124"/>
      <c r="BB230" s="124"/>
      <c r="BI230" s="32"/>
      <c r="BJ230" s="32"/>
      <c r="BK230" s="32"/>
      <c r="BL230" s="32"/>
      <c r="BM230" s="32"/>
      <c r="BN230" s="32"/>
      <c r="BO230" s="32"/>
      <c r="BP230" s="32"/>
      <c r="BQ230" s="32"/>
      <c r="BR230" s="32"/>
      <c r="BS230" s="32"/>
      <c r="BT230" s="253"/>
    </row>
    <row r="231" s="25" customFormat="1" spans="1:72">
      <c r="A231" s="124"/>
      <c r="B231" s="124"/>
      <c r="C231" s="124"/>
      <c r="D231" s="124"/>
      <c r="E231" s="124"/>
      <c r="F231" s="124"/>
      <c r="G231" s="124"/>
      <c r="H231" s="124"/>
      <c r="I231" s="124"/>
      <c r="J231" s="124"/>
      <c r="K231" s="124"/>
      <c r="L231" s="124"/>
      <c r="M231" s="124"/>
      <c r="N231" s="124"/>
      <c r="O231" s="124"/>
      <c r="P231" s="124"/>
      <c r="Q231" s="124"/>
      <c r="R231" s="124"/>
      <c r="S231" s="124"/>
      <c r="T231" s="124"/>
      <c r="U231" s="124"/>
      <c r="V231" s="124"/>
      <c r="W231" s="124"/>
      <c r="X231" s="124"/>
      <c r="Y231" s="124"/>
      <c r="Z231" s="124"/>
      <c r="AA231" s="124"/>
      <c r="AB231" s="124"/>
      <c r="AC231" s="124"/>
      <c r="AD231" s="124"/>
      <c r="AE231" s="124"/>
      <c r="AF231" s="124"/>
      <c r="AG231" s="124"/>
      <c r="AH231" s="124"/>
      <c r="AI231" s="124"/>
      <c r="AJ231" s="124"/>
      <c r="AK231" s="31"/>
      <c r="AL231" s="31"/>
      <c r="AM231" s="31"/>
      <c r="AN231" s="31"/>
      <c r="AO231" s="31"/>
      <c r="AP231" s="124"/>
      <c r="AQ231" s="124"/>
      <c r="AR231" s="124"/>
      <c r="AS231" s="124"/>
      <c r="AT231" s="124"/>
      <c r="AU231" s="124"/>
      <c r="AV231" s="124"/>
      <c r="AW231" s="124"/>
      <c r="AX231" s="124"/>
      <c r="AY231" s="124"/>
      <c r="AZ231" s="124"/>
      <c r="BA231" s="124"/>
      <c r="BB231" s="124"/>
      <c r="BI231" s="32"/>
      <c r="BJ231" s="32"/>
      <c r="BK231" s="32"/>
      <c r="BL231" s="32"/>
      <c r="BM231" s="32"/>
      <c r="BN231" s="32"/>
      <c r="BO231" s="32"/>
      <c r="BP231" s="32"/>
      <c r="BQ231" s="32"/>
      <c r="BR231" s="32"/>
      <c r="BS231" s="32"/>
      <c r="BT231" s="253"/>
    </row>
    <row r="232" s="25" customFormat="1" spans="1:72">
      <c r="A232" s="124"/>
      <c r="B232" s="124"/>
      <c r="C232" s="124"/>
      <c r="D232" s="124"/>
      <c r="E232" s="124"/>
      <c r="F232" s="124"/>
      <c r="G232" s="124"/>
      <c r="H232" s="124"/>
      <c r="I232" s="124"/>
      <c r="J232" s="124"/>
      <c r="K232" s="124"/>
      <c r="L232" s="124"/>
      <c r="M232" s="124"/>
      <c r="N232" s="124"/>
      <c r="O232" s="124"/>
      <c r="P232" s="124"/>
      <c r="Q232" s="124"/>
      <c r="R232" s="124"/>
      <c r="S232" s="124"/>
      <c r="T232" s="124"/>
      <c r="U232" s="124"/>
      <c r="V232" s="124"/>
      <c r="W232" s="124"/>
      <c r="X232" s="124"/>
      <c r="Y232" s="124"/>
      <c r="Z232" s="124"/>
      <c r="AA232" s="124"/>
      <c r="AB232" s="124"/>
      <c r="AC232" s="124"/>
      <c r="AD232" s="124"/>
      <c r="AE232" s="124"/>
      <c r="AF232" s="124"/>
      <c r="AG232" s="124"/>
      <c r="AH232" s="124"/>
      <c r="AI232" s="124"/>
      <c r="AJ232" s="124"/>
      <c r="AK232" s="31"/>
      <c r="AL232" s="31"/>
      <c r="AM232" s="31"/>
      <c r="AN232" s="31"/>
      <c r="AO232" s="31"/>
      <c r="AP232" s="124"/>
      <c r="AQ232" s="124"/>
      <c r="AR232" s="124"/>
      <c r="AS232" s="124"/>
      <c r="AT232" s="124"/>
      <c r="AU232" s="124"/>
      <c r="AV232" s="124"/>
      <c r="AW232" s="124"/>
      <c r="AX232" s="124"/>
      <c r="AY232" s="124"/>
      <c r="AZ232" s="124"/>
      <c r="BA232" s="124"/>
      <c r="BB232" s="124"/>
      <c r="BI232" s="32"/>
      <c r="BJ232" s="32"/>
      <c r="BK232" s="32"/>
      <c r="BL232" s="32"/>
      <c r="BM232" s="32"/>
      <c r="BN232" s="32"/>
      <c r="BO232" s="32"/>
      <c r="BP232" s="32"/>
      <c r="BQ232" s="32"/>
      <c r="BR232" s="32"/>
      <c r="BS232" s="32"/>
      <c r="BT232" s="253"/>
    </row>
    <row r="233" s="25" customFormat="1" spans="1:72">
      <c r="A233" s="124"/>
      <c r="B233" s="124"/>
      <c r="C233" s="124"/>
      <c r="D233" s="124"/>
      <c r="E233" s="124"/>
      <c r="F233" s="124"/>
      <c r="G233" s="124"/>
      <c r="H233" s="124"/>
      <c r="I233" s="124"/>
      <c r="J233" s="124"/>
      <c r="K233" s="124"/>
      <c r="L233" s="124"/>
      <c r="M233" s="124"/>
      <c r="N233" s="124"/>
      <c r="O233" s="124"/>
      <c r="P233" s="124"/>
      <c r="Q233" s="124"/>
      <c r="R233" s="124"/>
      <c r="S233" s="124"/>
      <c r="T233" s="124"/>
      <c r="U233" s="124"/>
      <c r="V233" s="124"/>
      <c r="W233" s="124"/>
      <c r="X233" s="124"/>
      <c r="Y233" s="124"/>
      <c r="Z233" s="124"/>
      <c r="AA233" s="124"/>
      <c r="AB233" s="124"/>
      <c r="AC233" s="124"/>
      <c r="AD233" s="124"/>
      <c r="AE233" s="124"/>
      <c r="AF233" s="124"/>
      <c r="AG233" s="124"/>
      <c r="AH233" s="124"/>
      <c r="AI233" s="124"/>
      <c r="AJ233" s="124"/>
      <c r="AK233" s="31"/>
      <c r="AL233" s="31"/>
      <c r="AM233" s="31"/>
      <c r="AN233" s="31"/>
      <c r="AO233" s="31"/>
      <c r="AP233" s="124"/>
      <c r="AQ233" s="124"/>
      <c r="AR233" s="124"/>
      <c r="AS233" s="124"/>
      <c r="AT233" s="124"/>
      <c r="AU233" s="124"/>
      <c r="AV233" s="124"/>
      <c r="AW233" s="124"/>
      <c r="AX233" s="124"/>
      <c r="AY233" s="124"/>
      <c r="AZ233" s="124"/>
      <c r="BA233" s="124"/>
      <c r="BB233" s="124"/>
      <c r="BI233" s="32"/>
      <c r="BJ233" s="32"/>
      <c r="BK233" s="32"/>
      <c r="BL233" s="32"/>
      <c r="BM233" s="32"/>
      <c r="BN233" s="32"/>
      <c r="BO233" s="32"/>
      <c r="BP233" s="32"/>
      <c r="BQ233" s="32"/>
      <c r="BR233" s="32"/>
      <c r="BS233" s="32"/>
      <c r="BT233" s="253"/>
    </row>
    <row r="234" s="25" customFormat="1" spans="1:72">
      <c r="A234" s="124"/>
      <c r="B234" s="124"/>
      <c r="C234" s="124"/>
      <c r="D234" s="124"/>
      <c r="E234" s="124"/>
      <c r="F234" s="124"/>
      <c r="G234" s="124"/>
      <c r="H234" s="124"/>
      <c r="I234" s="124"/>
      <c r="J234" s="124"/>
      <c r="K234" s="124"/>
      <c r="L234" s="124"/>
      <c r="M234" s="124"/>
      <c r="N234" s="124"/>
      <c r="O234" s="124"/>
      <c r="P234" s="124"/>
      <c r="Q234" s="124"/>
      <c r="R234" s="124"/>
      <c r="S234" s="124"/>
      <c r="T234" s="124"/>
      <c r="U234" s="124"/>
      <c r="V234" s="124"/>
      <c r="W234" s="124"/>
      <c r="X234" s="124"/>
      <c r="Y234" s="124"/>
      <c r="Z234" s="124"/>
      <c r="AA234" s="124"/>
      <c r="AB234" s="124"/>
      <c r="AC234" s="124"/>
      <c r="AD234" s="124"/>
      <c r="AE234" s="124"/>
      <c r="AF234" s="124"/>
      <c r="AG234" s="124"/>
      <c r="AH234" s="124"/>
      <c r="AI234" s="124"/>
      <c r="AJ234" s="124"/>
      <c r="AK234" s="31"/>
      <c r="AL234" s="31"/>
      <c r="AM234" s="31"/>
      <c r="AN234" s="31"/>
      <c r="AO234" s="31"/>
      <c r="AP234" s="124"/>
      <c r="AQ234" s="124"/>
      <c r="AR234" s="124"/>
      <c r="AS234" s="124"/>
      <c r="AT234" s="124"/>
      <c r="AU234" s="124"/>
      <c r="AV234" s="124"/>
      <c r="AW234" s="124"/>
      <c r="AX234" s="124"/>
      <c r="AY234" s="124"/>
      <c r="AZ234" s="124"/>
      <c r="BA234" s="124"/>
      <c r="BB234" s="124"/>
      <c r="BI234" s="32"/>
      <c r="BJ234" s="32"/>
      <c r="BK234" s="32"/>
      <c r="BL234" s="32"/>
      <c r="BM234" s="32"/>
      <c r="BN234" s="32"/>
      <c r="BO234" s="32"/>
      <c r="BP234" s="32"/>
      <c r="BQ234" s="32"/>
      <c r="BR234" s="32"/>
      <c r="BS234" s="32"/>
      <c r="BT234" s="253"/>
    </row>
    <row r="235" s="25" customFormat="1" spans="1:72">
      <c r="A235" s="124"/>
      <c r="B235" s="124"/>
      <c r="C235" s="124"/>
      <c r="D235" s="124"/>
      <c r="E235" s="124"/>
      <c r="F235" s="124"/>
      <c r="G235" s="124"/>
      <c r="H235" s="124"/>
      <c r="I235" s="124"/>
      <c r="J235" s="124"/>
      <c r="K235" s="124"/>
      <c r="L235" s="124"/>
      <c r="M235" s="124"/>
      <c r="N235" s="124"/>
      <c r="O235" s="124"/>
      <c r="P235" s="124"/>
      <c r="Q235" s="124"/>
      <c r="R235" s="124"/>
      <c r="S235" s="124"/>
      <c r="T235" s="124"/>
      <c r="U235" s="124"/>
      <c r="V235" s="124"/>
      <c r="W235" s="124"/>
      <c r="X235" s="124"/>
      <c r="Y235" s="124"/>
      <c r="Z235" s="124"/>
      <c r="AA235" s="124"/>
      <c r="AB235" s="124"/>
      <c r="AC235" s="124"/>
      <c r="AD235" s="124"/>
      <c r="AE235" s="124"/>
      <c r="AF235" s="124"/>
      <c r="AG235" s="124"/>
      <c r="AH235" s="124"/>
      <c r="AI235" s="124"/>
      <c r="AJ235" s="124"/>
      <c r="AK235" s="31"/>
      <c r="AL235" s="31"/>
      <c r="AM235" s="31"/>
      <c r="AN235" s="31"/>
      <c r="AO235" s="31"/>
      <c r="AP235" s="124"/>
      <c r="AQ235" s="124"/>
      <c r="AR235" s="124"/>
      <c r="AS235" s="124"/>
      <c r="AT235" s="124"/>
      <c r="AU235" s="124"/>
      <c r="AV235" s="124"/>
      <c r="AW235" s="124"/>
      <c r="AX235" s="124"/>
      <c r="AY235" s="124"/>
      <c r="AZ235" s="124"/>
      <c r="BA235" s="124"/>
      <c r="BB235" s="124"/>
      <c r="BI235" s="32"/>
      <c r="BJ235" s="32"/>
      <c r="BK235" s="32"/>
      <c r="BL235" s="32"/>
      <c r="BM235" s="32"/>
      <c r="BN235" s="32"/>
      <c r="BO235" s="32"/>
      <c r="BP235" s="32"/>
      <c r="BQ235" s="32"/>
      <c r="BR235" s="32"/>
      <c r="BS235" s="32"/>
      <c r="BT235" s="253"/>
    </row>
    <row r="236" s="25" customFormat="1" spans="1:72">
      <c r="A236" s="124"/>
      <c r="B236" s="124"/>
      <c r="C236" s="124"/>
      <c r="D236" s="124"/>
      <c r="E236" s="124"/>
      <c r="F236" s="124"/>
      <c r="G236" s="124"/>
      <c r="H236" s="124"/>
      <c r="I236" s="124"/>
      <c r="J236" s="124"/>
      <c r="K236" s="124"/>
      <c r="L236" s="124"/>
      <c r="M236" s="124"/>
      <c r="N236" s="124"/>
      <c r="O236" s="124"/>
      <c r="P236" s="124"/>
      <c r="Q236" s="124"/>
      <c r="R236" s="124"/>
      <c r="S236" s="124"/>
      <c r="T236" s="124"/>
      <c r="U236" s="124"/>
      <c r="V236" s="124"/>
      <c r="W236" s="124"/>
      <c r="X236" s="124"/>
      <c r="Y236" s="124"/>
      <c r="Z236" s="124"/>
      <c r="AA236" s="124"/>
      <c r="AB236" s="124"/>
      <c r="AC236" s="124"/>
      <c r="AD236" s="124"/>
      <c r="AE236" s="124"/>
      <c r="AF236" s="124"/>
      <c r="AG236" s="124"/>
      <c r="AH236" s="124"/>
      <c r="AI236" s="124"/>
      <c r="AJ236" s="124"/>
      <c r="AK236" s="31"/>
      <c r="AL236" s="31"/>
      <c r="AM236" s="31"/>
      <c r="AN236" s="31"/>
      <c r="AO236" s="31"/>
      <c r="AP236" s="124"/>
      <c r="AQ236" s="124"/>
      <c r="AR236" s="124"/>
      <c r="AS236" s="124"/>
      <c r="AT236" s="124"/>
      <c r="AU236" s="124"/>
      <c r="AV236" s="124"/>
      <c r="AW236" s="124"/>
      <c r="AX236" s="124"/>
      <c r="AY236" s="124"/>
      <c r="AZ236" s="124"/>
      <c r="BA236" s="124"/>
      <c r="BB236" s="124"/>
      <c r="BI236" s="32"/>
      <c r="BJ236" s="32"/>
      <c r="BK236" s="32"/>
      <c r="BL236" s="32"/>
      <c r="BM236" s="32"/>
      <c r="BN236" s="32"/>
      <c r="BO236" s="32"/>
      <c r="BP236" s="32"/>
      <c r="BQ236" s="32"/>
      <c r="BR236" s="32"/>
      <c r="BS236" s="32"/>
      <c r="BT236" s="253"/>
    </row>
    <row r="237" s="25" customFormat="1" spans="1:72">
      <c r="A237" s="124"/>
      <c r="B237" s="124"/>
      <c r="C237" s="124"/>
      <c r="D237" s="124"/>
      <c r="E237" s="124"/>
      <c r="F237" s="124"/>
      <c r="G237" s="124"/>
      <c r="H237" s="124"/>
      <c r="I237" s="124"/>
      <c r="J237" s="124"/>
      <c r="K237" s="124"/>
      <c r="L237" s="124"/>
      <c r="M237" s="124"/>
      <c r="N237" s="124"/>
      <c r="O237" s="124"/>
      <c r="P237" s="124"/>
      <c r="Q237" s="124"/>
      <c r="R237" s="124"/>
      <c r="S237" s="124"/>
      <c r="T237" s="124"/>
      <c r="U237" s="124"/>
      <c r="V237" s="124"/>
      <c r="W237" s="124"/>
      <c r="X237" s="124"/>
      <c r="Y237" s="124"/>
      <c r="Z237" s="124"/>
      <c r="AA237" s="124"/>
      <c r="AB237" s="124"/>
      <c r="AC237" s="124"/>
      <c r="AD237" s="124"/>
      <c r="AE237" s="124"/>
      <c r="AF237" s="124"/>
      <c r="AG237" s="124"/>
      <c r="AH237" s="124"/>
      <c r="AI237" s="124"/>
      <c r="AJ237" s="124"/>
      <c r="AK237" s="31"/>
      <c r="AL237" s="31"/>
      <c r="AM237" s="31"/>
      <c r="AN237" s="31"/>
      <c r="AO237" s="31"/>
      <c r="AP237" s="124"/>
      <c r="AQ237" s="124"/>
      <c r="AR237" s="124"/>
      <c r="AS237" s="124"/>
      <c r="AT237" s="124"/>
      <c r="AU237" s="124"/>
      <c r="AV237" s="124"/>
      <c r="AW237" s="124"/>
      <c r="AX237" s="124"/>
      <c r="AY237" s="124"/>
      <c r="AZ237" s="124"/>
      <c r="BA237" s="124"/>
      <c r="BB237" s="124"/>
      <c r="BI237" s="32"/>
      <c r="BJ237" s="32"/>
      <c r="BK237" s="32"/>
      <c r="BL237" s="32"/>
      <c r="BM237" s="32"/>
      <c r="BN237" s="32"/>
      <c r="BO237" s="32"/>
      <c r="BP237" s="32"/>
      <c r="BQ237" s="32"/>
      <c r="BR237" s="32"/>
      <c r="BS237" s="32"/>
      <c r="BT237" s="253"/>
    </row>
    <row r="238" s="25" customFormat="1" spans="1:72">
      <c r="A238" s="124"/>
      <c r="B238" s="124"/>
      <c r="C238" s="124"/>
      <c r="D238" s="124"/>
      <c r="E238" s="124"/>
      <c r="F238" s="124"/>
      <c r="G238" s="124"/>
      <c r="H238" s="124"/>
      <c r="I238" s="124"/>
      <c r="J238" s="124"/>
      <c r="K238" s="124"/>
      <c r="L238" s="124"/>
      <c r="M238" s="124"/>
      <c r="N238" s="124"/>
      <c r="O238" s="124"/>
      <c r="P238" s="124"/>
      <c r="Q238" s="124"/>
      <c r="R238" s="124"/>
      <c r="S238" s="124"/>
      <c r="T238" s="124"/>
      <c r="U238" s="124"/>
      <c r="V238" s="124"/>
      <c r="W238" s="124"/>
      <c r="X238" s="124"/>
      <c r="Y238" s="124"/>
      <c r="Z238" s="124"/>
      <c r="AA238" s="124"/>
      <c r="AB238" s="124"/>
      <c r="AC238" s="124"/>
      <c r="AD238" s="124"/>
      <c r="AE238" s="124"/>
      <c r="AF238" s="124"/>
      <c r="AG238" s="124"/>
      <c r="AH238" s="124"/>
      <c r="AI238" s="124"/>
      <c r="AJ238" s="124"/>
      <c r="AK238" s="31"/>
      <c r="AL238" s="31"/>
      <c r="AM238" s="31"/>
      <c r="AN238" s="31"/>
      <c r="AO238" s="31"/>
      <c r="AP238" s="124"/>
      <c r="AQ238" s="124"/>
      <c r="AR238" s="124"/>
      <c r="AS238" s="124"/>
      <c r="AT238" s="124"/>
      <c r="AU238" s="124"/>
      <c r="AV238" s="124"/>
      <c r="AW238" s="124"/>
      <c r="AX238" s="124"/>
      <c r="AY238" s="124"/>
      <c r="AZ238" s="124"/>
      <c r="BA238" s="124"/>
      <c r="BB238" s="124"/>
      <c r="BI238" s="32"/>
      <c r="BJ238" s="32"/>
      <c r="BK238" s="32"/>
      <c r="BL238" s="32"/>
      <c r="BM238" s="32"/>
      <c r="BN238" s="32"/>
      <c r="BO238" s="32"/>
      <c r="BP238" s="32"/>
      <c r="BQ238" s="32"/>
      <c r="BR238" s="32"/>
      <c r="BS238" s="32"/>
      <c r="BT238" s="253"/>
    </row>
    <row r="239" s="25" customFormat="1" spans="1:72">
      <c r="A239" s="124"/>
      <c r="B239" s="124"/>
      <c r="C239" s="124"/>
      <c r="D239" s="124"/>
      <c r="E239" s="124"/>
      <c r="F239" s="124"/>
      <c r="G239" s="124"/>
      <c r="H239" s="124"/>
      <c r="I239" s="124"/>
      <c r="J239" s="124"/>
      <c r="K239" s="124"/>
      <c r="L239" s="124"/>
      <c r="M239" s="124"/>
      <c r="N239" s="124"/>
      <c r="O239" s="124"/>
      <c r="P239" s="124"/>
      <c r="Q239" s="124"/>
      <c r="R239" s="124"/>
      <c r="S239" s="124"/>
      <c r="T239" s="124"/>
      <c r="U239" s="124"/>
      <c r="V239" s="124"/>
      <c r="W239" s="124"/>
      <c r="X239" s="124"/>
      <c r="Y239" s="124"/>
      <c r="Z239" s="124"/>
      <c r="AA239" s="124"/>
      <c r="AB239" s="124"/>
      <c r="AC239" s="124"/>
      <c r="AD239" s="124"/>
      <c r="AE239" s="124"/>
      <c r="AF239" s="124"/>
      <c r="AG239" s="124"/>
      <c r="AH239" s="124"/>
      <c r="AI239" s="124"/>
      <c r="AJ239" s="124"/>
      <c r="AK239" s="31"/>
      <c r="AL239" s="31"/>
      <c r="AM239" s="31"/>
      <c r="AN239" s="31"/>
      <c r="AO239" s="31"/>
      <c r="AP239" s="124"/>
      <c r="AQ239" s="124"/>
      <c r="AR239" s="124"/>
      <c r="AS239" s="124"/>
      <c r="AT239" s="124"/>
      <c r="AU239" s="124"/>
      <c r="AV239" s="124"/>
      <c r="AW239" s="124"/>
      <c r="AX239" s="124"/>
      <c r="AY239" s="124"/>
      <c r="AZ239" s="124"/>
      <c r="BA239" s="124"/>
      <c r="BB239" s="124"/>
      <c r="BI239" s="32"/>
      <c r="BJ239" s="32"/>
      <c r="BK239" s="32"/>
      <c r="BL239" s="32"/>
      <c r="BM239" s="32"/>
      <c r="BN239" s="32"/>
      <c r="BO239" s="32"/>
      <c r="BP239" s="32"/>
      <c r="BQ239" s="32"/>
      <c r="BR239" s="32"/>
      <c r="BS239" s="32"/>
      <c r="BT239" s="253"/>
    </row>
    <row r="240" s="25" customFormat="1" spans="1:72">
      <c r="A240" s="124"/>
      <c r="B240" s="124"/>
      <c r="C240" s="124"/>
      <c r="D240" s="124"/>
      <c r="E240" s="124"/>
      <c r="F240" s="124"/>
      <c r="G240" s="124"/>
      <c r="H240" s="124"/>
      <c r="I240" s="124"/>
      <c r="J240" s="124"/>
      <c r="K240" s="124"/>
      <c r="L240" s="124"/>
      <c r="M240" s="124"/>
      <c r="N240" s="124"/>
      <c r="O240" s="124"/>
      <c r="P240" s="124"/>
      <c r="Q240" s="124"/>
      <c r="R240" s="124"/>
      <c r="S240" s="124"/>
      <c r="T240" s="124"/>
      <c r="U240" s="124"/>
      <c r="V240" s="124"/>
      <c r="W240" s="124"/>
      <c r="X240" s="124"/>
      <c r="Y240" s="124"/>
      <c r="Z240" s="124"/>
      <c r="AA240" s="124"/>
      <c r="AB240" s="124"/>
      <c r="AC240" s="124"/>
      <c r="AD240" s="124"/>
      <c r="AE240" s="124"/>
      <c r="AF240" s="124"/>
      <c r="AG240" s="124"/>
      <c r="AH240" s="124"/>
      <c r="AI240" s="124"/>
      <c r="AJ240" s="124"/>
      <c r="AK240" s="31"/>
      <c r="AL240" s="31"/>
      <c r="AM240" s="31"/>
      <c r="AN240" s="31"/>
      <c r="AO240" s="31"/>
      <c r="AP240" s="124"/>
      <c r="AQ240" s="124"/>
      <c r="AR240" s="124"/>
      <c r="AS240" s="124"/>
      <c r="AT240" s="124"/>
      <c r="AU240" s="124"/>
      <c r="AV240" s="124"/>
      <c r="AW240" s="124"/>
      <c r="AX240" s="124"/>
      <c r="AY240" s="124"/>
      <c r="AZ240" s="124"/>
      <c r="BA240" s="124"/>
      <c r="BB240" s="124"/>
      <c r="BI240" s="32"/>
      <c r="BJ240" s="32"/>
      <c r="BK240" s="32"/>
      <c r="BL240" s="32"/>
      <c r="BM240" s="32"/>
      <c r="BN240" s="32"/>
      <c r="BO240" s="32"/>
      <c r="BP240" s="32"/>
      <c r="BQ240" s="32"/>
      <c r="BR240" s="32"/>
      <c r="BS240" s="32"/>
      <c r="BT240" s="253"/>
    </row>
    <row r="241" s="25" customFormat="1" spans="1:72">
      <c r="A241" s="124"/>
      <c r="B241" s="124"/>
      <c r="C241" s="124"/>
      <c r="D241" s="124"/>
      <c r="E241" s="124"/>
      <c r="F241" s="124"/>
      <c r="G241" s="124"/>
      <c r="H241" s="124"/>
      <c r="I241" s="124"/>
      <c r="J241" s="124"/>
      <c r="K241" s="124"/>
      <c r="L241" s="124"/>
      <c r="M241" s="124"/>
      <c r="N241" s="124"/>
      <c r="O241" s="124"/>
      <c r="P241" s="124"/>
      <c r="Q241" s="124"/>
      <c r="R241" s="124"/>
      <c r="S241" s="124"/>
      <c r="T241" s="124"/>
      <c r="U241" s="124"/>
      <c r="V241" s="124"/>
      <c r="W241" s="124"/>
      <c r="X241" s="124"/>
      <c r="Y241" s="124"/>
      <c r="Z241" s="124"/>
      <c r="AA241" s="124"/>
      <c r="AB241" s="124"/>
      <c r="AC241" s="124"/>
      <c r="AD241" s="124"/>
      <c r="AE241" s="124"/>
      <c r="AF241" s="124"/>
      <c r="AG241" s="124"/>
      <c r="AH241" s="124"/>
      <c r="AI241" s="124"/>
      <c r="AJ241" s="124"/>
      <c r="AK241" s="31"/>
      <c r="AL241" s="31"/>
      <c r="AM241" s="31"/>
      <c r="AN241" s="31"/>
      <c r="AO241" s="31"/>
      <c r="AP241" s="124"/>
      <c r="AQ241" s="124"/>
      <c r="AR241" s="124"/>
      <c r="AS241" s="124"/>
      <c r="AT241" s="124"/>
      <c r="AU241" s="124"/>
      <c r="AV241" s="124"/>
      <c r="AW241" s="124"/>
      <c r="AX241" s="124"/>
      <c r="AY241" s="124"/>
      <c r="AZ241" s="124"/>
      <c r="BA241" s="124"/>
      <c r="BB241" s="124"/>
      <c r="BI241" s="32"/>
      <c r="BJ241" s="32"/>
      <c r="BK241" s="32"/>
      <c r="BL241" s="32"/>
      <c r="BM241" s="32"/>
      <c r="BN241" s="32"/>
      <c r="BO241" s="32"/>
      <c r="BP241" s="32"/>
      <c r="BQ241" s="32"/>
      <c r="BR241" s="32"/>
      <c r="BS241" s="32"/>
      <c r="BT241" s="253"/>
    </row>
    <row r="242" s="25" customFormat="1" spans="1:72">
      <c r="A242" s="124"/>
      <c r="B242" s="124"/>
      <c r="C242" s="124"/>
      <c r="D242" s="124"/>
      <c r="E242" s="124"/>
      <c r="F242" s="124"/>
      <c r="G242" s="124"/>
      <c r="H242" s="124"/>
      <c r="I242" s="124"/>
      <c r="J242" s="124"/>
      <c r="K242" s="124"/>
      <c r="L242" s="124"/>
      <c r="M242" s="124"/>
      <c r="N242" s="124"/>
      <c r="O242" s="124"/>
      <c r="P242" s="124"/>
      <c r="Q242" s="124"/>
      <c r="R242" s="124"/>
      <c r="S242" s="124"/>
      <c r="T242" s="124"/>
      <c r="U242" s="124"/>
      <c r="V242" s="124"/>
      <c r="W242" s="124"/>
      <c r="X242" s="124"/>
      <c r="Y242" s="124"/>
      <c r="Z242" s="124"/>
      <c r="AA242" s="124"/>
      <c r="AB242" s="124"/>
      <c r="AC242" s="124"/>
      <c r="AD242" s="124"/>
      <c r="AE242" s="124"/>
      <c r="AF242" s="124"/>
      <c r="AG242" s="124"/>
      <c r="AH242" s="124"/>
      <c r="AI242" s="124"/>
      <c r="AJ242" s="124"/>
      <c r="AK242" s="31"/>
      <c r="AL242" s="31"/>
      <c r="AM242" s="31"/>
      <c r="AN242" s="31"/>
      <c r="AO242" s="31"/>
      <c r="AP242" s="124"/>
      <c r="AQ242" s="124"/>
      <c r="AR242" s="124"/>
      <c r="AS242" s="124"/>
      <c r="AT242" s="124"/>
      <c r="AU242" s="124"/>
      <c r="AV242" s="124"/>
      <c r="AW242" s="124"/>
      <c r="AX242" s="124"/>
      <c r="AY242" s="124"/>
      <c r="AZ242" s="124"/>
      <c r="BA242" s="124"/>
      <c r="BB242" s="124"/>
      <c r="BI242" s="32"/>
      <c r="BJ242" s="32"/>
      <c r="BK242" s="32"/>
      <c r="BL242" s="32"/>
      <c r="BM242" s="32"/>
      <c r="BN242" s="32"/>
      <c r="BO242" s="32"/>
      <c r="BP242" s="32"/>
      <c r="BQ242" s="32"/>
      <c r="BR242" s="32"/>
      <c r="BS242" s="32"/>
      <c r="BT242" s="253"/>
    </row>
    <row r="243" s="25" customFormat="1" spans="1:72">
      <c r="A243" s="124"/>
      <c r="B243" s="124"/>
      <c r="C243" s="124"/>
      <c r="D243" s="124"/>
      <c r="E243" s="124"/>
      <c r="F243" s="124"/>
      <c r="G243" s="124"/>
      <c r="H243" s="124"/>
      <c r="I243" s="124"/>
      <c r="J243" s="124"/>
      <c r="K243" s="124"/>
      <c r="L243" s="124"/>
      <c r="M243" s="124"/>
      <c r="N243" s="124"/>
      <c r="O243" s="124"/>
      <c r="P243" s="124"/>
      <c r="Q243" s="124"/>
      <c r="R243" s="124"/>
      <c r="S243" s="124"/>
      <c r="T243" s="124"/>
      <c r="U243" s="124"/>
      <c r="V243" s="124"/>
      <c r="W243" s="124"/>
      <c r="X243" s="124"/>
      <c r="Y243" s="124"/>
      <c r="Z243" s="124"/>
      <c r="AA243" s="124"/>
      <c r="AB243" s="124"/>
      <c r="AC243" s="124"/>
      <c r="AD243" s="124"/>
      <c r="AE243" s="124"/>
      <c r="AF243" s="124"/>
      <c r="AG243" s="124"/>
      <c r="AH243" s="124"/>
      <c r="AI243" s="124"/>
      <c r="AJ243" s="124"/>
      <c r="AK243" s="31"/>
      <c r="AL243" s="31"/>
      <c r="AM243" s="31"/>
      <c r="AN243" s="31"/>
      <c r="AO243" s="31"/>
      <c r="AP243" s="124"/>
      <c r="AQ243" s="124"/>
      <c r="AR243" s="124"/>
      <c r="AS243" s="124"/>
      <c r="AT243" s="124"/>
      <c r="AU243" s="124"/>
      <c r="AV243" s="124"/>
      <c r="AW243" s="124"/>
      <c r="AX243" s="124"/>
      <c r="AY243" s="124"/>
      <c r="AZ243" s="124"/>
      <c r="BA243" s="124"/>
      <c r="BB243" s="124"/>
      <c r="BI243" s="32"/>
      <c r="BJ243" s="32"/>
      <c r="BK243" s="32"/>
      <c r="BL243" s="32"/>
      <c r="BM243" s="32"/>
      <c r="BN243" s="32"/>
      <c r="BO243" s="32"/>
      <c r="BP243" s="32"/>
      <c r="BQ243" s="32"/>
      <c r="BR243" s="32"/>
      <c r="BS243" s="32"/>
      <c r="BT243" s="253"/>
    </row>
    <row r="244" s="25" customFormat="1" spans="1:72">
      <c r="A244" s="124"/>
      <c r="B244" s="124"/>
      <c r="C244" s="124"/>
      <c r="D244" s="124"/>
      <c r="E244" s="124"/>
      <c r="F244" s="124"/>
      <c r="G244" s="124"/>
      <c r="H244" s="124"/>
      <c r="I244" s="124"/>
      <c r="J244" s="124"/>
      <c r="K244" s="124"/>
      <c r="L244" s="124"/>
      <c r="M244" s="124"/>
      <c r="N244" s="124"/>
      <c r="O244" s="124"/>
      <c r="P244" s="124"/>
      <c r="Q244" s="124"/>
      <c r="R244" s="124"/>
      <c r="S244" s="124"/>
      <c r="T244" s="124"/>
      <c r="U244" s="124"/>
      <c r="V244" s="124"/>
      <c r="W244" s="124"/>
      <c r="X244" s="124"/>
      <c r="Y244" s="124"/>
      <c r="Z244" s="124"/>
      <c r="AA244" s="124"/>
      <c r="AB244" s="124"/>
      <c r="AC244" s="124"/>
      <c r="AD244" s="124"/>
      <c r="AE244" s="124"/>
      <c r="AF244" s="124"/>
      <c r="AG244" s="124"/>
      <c r="AH244" s="124"/>
      <c r="AI244" s="124"/>
      <c r="AJ244" s="124"/>
      <c r="AK244" s="31"/>
      <c r="AL244" s="31"/>
      <c r="AM244" s="31"/>
      <c r="AN244" s="31"/>
      <c r="AO244" s="31"/>
      <c r="AP244" s="124"/>
      <c r="AQ244" s="124"/>
      <c r="AR244" s="124"/>
      <c r="AS244" s="124"/>
      <c r="AT244" s="124"/>
      <c r="AU244" s="124"/>
      <c r="AV244" s="124"/>
      <c r="AW244" s="124"/>
      <c r="AX244" s="124"/>
      <c r="AY244" s="124"/>
      <c r="AZ244" s="124"/>
      <c r="BA244" s="124"/>
      <c r="BB244" s="124"/>
      <c r="BI244" s="32"/>
      <c r="BJ244" s="32"/>
      <c r="BK244" s="32"/>
      <c r="BL244" s="32"/>
      <c r="BM244" s="32"/>
      <c r="BN244" s="32"/>
      <c r="BO244" s="32"/>
      <c r="BP244" s="32"/>
      <c r="BQ244" s="32"/>
      <c r="BR244" s="32"/>
      <c r="BS244" s="32"/>
      <c r="BT244" s="253"/>
    </row>
    <row r="245" s="25" customFormat="1" spans="1:72">
      <c r="A245" s="124"/>
      <c r="B245" s="124"/>
      <c r="C245" s="124"/>
      <c r="D245" s="124"/>
      <c r="E245" s="124"/>
      <c r="F245" s="124"/>
      <c r="G245" s="124"/>
      <c r="H245" s="124"/>
      <c r="I245" s="124"/>
      <c r="J245" s="124"/>
      <c r="K245" s="124"/>
      <c r="L245" s="124"/>
      <c r="M245" s="124"/>
      <c r="N245" s="124"/>
      <c r="O245" s="124"/>
      <c r="P245" s="124"/>
      <c r="Q245" s="124"/>
      <c r="R245" s="124"/>
      <c r="S245" s="124"/>
      <c r="T245" s="124"/>
      <c r="U245" s="124"/>
      <c r="V245" s="124"/>
      <c r="W245" s="124"/>
      <c r="X245" s="124"/>
      <c r="Y245" s="124"/>
      <c r="Z245" s="124"/>
      <c r="AA245" s="124"/>
      <c r="AB245" s="124"/>
      <c r="AC245" s="124"/>
      <c r="AD245" s="124"/>
      <c r="AE245" s="124"/>
      <c r="AF245" s="124"/>
      <c r="AG245" s="124"/>
      <c r="AH245" s="124"/>
      <c r="AI245" s="124"/>
      <c r="AJ245" s="124"/>
      <c r="AK245" s="31"/>
      <c r="AL245" s="31"/>
      <c r="AM245" s="31"/>
      <c r="AN245" s="31"/>
      <c r="AO245" s="31"/>
      <c r="AP245" s="124"/>
      <c r="AQ245" s="124"/>
      <c r="AR245" s="124"/>
      <c r="AS245" s="124"/>
      <c r="AT245" s="124"/>
      <c r="AU245" s="124"/>
      <c r="AV245" s="124"/>
      <c r="AW245" s="124"/>
      <c r="AX245" s="124"/>
      <c r="AY245" s="124"/>
      <c r="AZ245" s="124"/>
      <c r="BA245" s="124"/>
      <c r="BB245" s="124"/>
      <c r="BI245" s="32"/>
      <c r="BJ245" s="32"/>
      <c r="BK245" s="32"/>
      <c r="BL245" s="32"/>
      <c r="BM245" s="32"/>
      <c r="BN245" s="32"/>
      <c r="BO245" s="32"/>
      <c r="BP245" s="32"/>
      <c r="BQ245" s="32"/>
      <c r="BR245" s="32"/>
      <c r="BS245" s="32"/>
      <c r="BT245" s="253"/>
    </row>
    <row r="246" s="25" customFormat="1" spans="1:72">
      <c r="A246" s="124"/>
      <c r="B246" s="124"/>
      <c r="C246" s="124"/>
      <c r="D246" s="124"/>
      <c r="E246" s="124"/>
      <c r="F246" s="124"/>
      <c r="G246" s="124"/>
      <c r="H246" s="124"/>
      <c r="I246" s="124"/>
      <c r="J246" s="124"/>
      <c r="K246" s="124"/>
      <c r="L246" s="124"/>
      <c r="M246" s="124"/>
      <c r="N246" s="124"/>
      <c r="O246" s="124"/>
      <c r="P246" s="124"/>
      <c r="Q246" s="124"/>
      <c r="R246" s="124"/>
      <c r="S246" s="124"/>
      <c r="T246" s="124"/>
      <c r="U246" s="124"/>
      <c r="V246" s="124"/>
      <c r="W246" s="124"/>
      <c r="X246" s="124"/>
      <c r="Y246" s="124"/>
      <c r="Z246" s="124"/>
      <c r="AA246" s="124"/>
      <c r="AB246" s="124"/>
      <c r="AC246" s="124"/>
      <c r="AD246" s="124"/>
      <c r="AE246" s="124"/>
      <c r="AF246" s="124"/>
      <c r="AG246" s="124"/>
      <c r="AH246" s="124"/>
      <c r="AI246" s="124"/>
      <c r="AJ246" s="124"/>
      <c r="AK246" s="31"/>
      <c r="AL246" s="31"/>
      <c r="AM246" s="31"/>
      <c r="AN246" s="31"/>
      <c r="AO246" s="31"/>
      <c r="AP246" s="124"/>
      <c r="AQ246" s="124"/>
      <c r="AR246" s="124"/>
      <c r="AS246" s="124"/>
      <c r="AT246" s="124"/>
      <c r="AU246" s="124"/>
      <c r="AV246" s="124"/>
      <c r="AW246" s="124"/>
      <c r="AX246" s="124"/>
      <c r="AY246" s="124"/>
      <c r="AZ246" s="124"/>
      <c r="BA246" s="124"/>
      <c r="BB246" s="124"/>
      <c r="BI246" s="32"/>
      <c r="BJ246" s="32"/>
      <c r="BK246" s="32"/>
      <c r="BL246" s="32"/>
      <c r="BM246" s="32"/>
      <c r="BN246" s="32"/>
      <c r="BO246" s="32"/>
      <c r="BP246" s="32"/>
      <c r="BQ246" s="32"/>
      <c r="BR246" s="32"/>
      <c r="BS246" s="32"/>
      <c r="BT246" s="253"/>
    </row>
  </sheetData>
  <sheetProtection password="D01C" sheet="1" selectLockedCells="1" objects="1"/>
  <mergeCells count="592">
    <mergeCell ref="B7:O7"/>
    <mergeCell ref="G9:H9"/>
    <mergeCell ref="I9:J9"/>
    <mergeCell ref="E14:G14"/>
    <mergeCell ref="H14:K14"/>
    <mergeCell ref="E15:G15"/>
    <mergeCell ref="H15:K15"/>
    <mergeCell ref="E16:G16"/>
    <mergeCell ref="H16:K16"/>
    <mergeCell ref="E17:G17"/>
    <mergeCell ref="H17:K17"/>
    <mergeCell ref="E18:G18"/>
    <mergeCell ref="H18:K18"/>
    <mergeCell ref="E19:G19"/>
    <mergeCell ref="H19:K19"/>
    <mergeCell ref="E20:G20"/>
    <mergeCell ref="H20:K20"/>
    <mergeCell ref="B23:O23"/>
    <mergeCell ref="C25:D25"/>
    <mergeCell ref="F25:G25"/>
    <mergeCell ref="H25:I25"/>
    <mergeCell ref="J25:K25"/>
    <mergeCell ref="L25:M25"/>
    <mergeCell ref="N25:O25"/>
    <mergeCell ref="B26:C26"/>
    <mergeCell ref="D26:E26"/>
    <mergeCell ref="F26:G26"/>
    <mergeCell ref="H26:I26"/>
    <mergeCell ref="J26:K26"/>
    <mergeCell ref="L26:O26"/>
    <mergeCell ref="B27:C27"/>
    <mergeCell ref="D27:E27"/>
    <mergeCell ref="F27:G27"/>
    <mergeCell ref="J27:K27"/>
    <mergeCell ref="L27:O27"/>
    <mergeCell ref="B28:C28"/>
    <mergeCell ref="D28:F28"/>
    <mergeCell ref="G28:H28"/>
    <mergeCell ref="I28:J28"/>
    <mergeCell ref="K28:M28"/>
    <mergeCell ref="B29:C29"/>
    <mergeCell ref="D29:H29"/>
    <mergeCell ref="I29:J29"/>
    <mergeCell ref="K29:O29"/>
    <mergeCell ref="B30:O30"/>
    <mergeCell ref="C31:G31"/>
    <mergeCell ref="H31:M31"/>
    <mergeCell ref="C32:G32"/>
    <mergeCell ref="H32:M32"/>
    <mergeCell ref="C33:G33"/>
    <mergeCell ref="H33:M33"/>
    <mergeCell ref="C34:D34"/>
    <mergeCell ref="F34:G34"/>
    <mergeCell ref="H34:I34"/>
    <mergeCell ref="J34:K34"/>
    <mergeCell ref="L34:M34"/>
    <mergeCell ref="C35:D35"/>
    <mergeCell ref="F35:G35"/>
    <mergeCell ref="H35:I35"/>
    <mergeCell ref="J35:K35"/>
    <mergeCell ref="L35:M35"/>
    <mergeCell ref="C36:F36"/>
    <mergeCell ref="G36:I36"/>
    <mergeCell ref="J36:M36"/>
    <mergeCell ref="C37:F37"/>
    <mergeCell ref="G37:I37"/>
    <mergeCell ref="J37:M37"/>
    <mergeCell ref="C38:F38"/>
    <mergeCell ref="G38:I38"/>
    <mergeCell ref="J38:M38"/>
    <mergeCell ref="C39:F39"/>
    <mergeCell ref="G39:I39"/>
    <mergeCell ref="J39:M39"/>
    <mergeCell ref="C40:F40"/>
    <mergeCell ref="G40:I40"/>
    <mergeCell ref="J40:M40"/>
    <mergeCell ref="C41:F41"/>
    <mergeCell ref="G41:I41"/>
    <mergeCell ref="J41:M41"/>
    <mergeCell ref="C42:F42"/>
    <mergeCell ref="G42:I42"/>
    <mergeCell ref="J42:M42"/>
    <mergeCell ref="C43:F43"/>
    <mergeCell ref="G43:I43"/>
    <mergeCell ref="J43:M43"/>
    <mergeCell ref="C44:F44"/>
    <mergeCell ref="G44:I44"/>
    <mergeCell ref="J44:M44"/>
    <mergeCell ref="C45:F45"/>
    <mergeCell ref="G45:I45"/>
    <mergeCell ref="J45:M45"/>
    <mergeCell ref="C46:F46"/>
    <mergeCell ref="G46:I46"/>
    <mergeCell ref="J46:L46"/>
    <mergeCell ref="Q46:R46"/>
    <mergeCell ref="C47:F47"/>
    <mergeCell ref="G47:I47"/>
    <mergeCell ref="J47:L47"/>
    <mergeCell ref="Q47:R47"/>
    <mergeCell ref="C48:F48"/>
    <mergeCell ref="G48:I48"/>
    <mergeCell ref="J48:L48"/>
    <mergeCell ref="Q48:R48"/>
    <mergeCell ref="C49:F49"/>
    <mergeCell ref="G49:I49"/>
    <mergeCell ref="J49:L49"/>
    <mergeCell ref="Q49:R49"/>
    <mergeCell ref="C50:D50"/>
    <mergeCell ref="E50:F50"/>
    <mergeCell ref="G50:H50"/>
    <mergeCell ref="I50:J50"/>
    <mergeCell ref="K50:L50"/>
    <mergeCell ref="Q50:R50"/>
    <mergeCell ref="C51:D51"/>
    <mergeCell ref="E51:F51"/>
    <mergeCell ref="G51:H51"/>
    <mergeCell ref="I51:J51"/>
    <mergeCell ref="K51:L51"/>
    <mergeCell ref="Q51:R51"/>
    <mergeCell ref="C52:D52"/>
    <mergeCell ref="E52:F52"/>
    <mergeCell ref="G52:I52"/>
    <mergeCell ref="J52:K52"/>
    <mergeCell ref="L52:M52"/>
    <mergeCell ref="C53:D53"/>
    <mergeCell ref="E53:F53"/>
    <mergeCell ref="G53:I53"/>
    <mergeCell ref="J53:K53"/>
    <mergeCell ref="L53:M53"/>
    <mergeCell ref="C54:D54"/>
    <mergeCell ref="E54:F54"/>
    <mergeCell ref="G54:I54"/>
    <mergeCell ref="J54:K54"/>
    <mergeCell ref="L54:M54"/>
    <mergeCell ref="C55:D55"/>
    <mergeCell ref="E55:F55"/>
    <mergeCell ref="G55:I55"/>
    <mergeCell ref="J55:K55"/>
    <mergeCell ref="L55:M55"/>
    <mergeCell ref="C56:D56"/>
    <mergeCell ref="E56:F56"/>
    <mergeCell ref="G56:I56"/>
    <mergeCell ref="J56:K56"/>
    <mergeCell ref="L56:M56"/>
    <mergeCell ref="C57:D57"/>
    <mergeCell ref="E57:F57"/>
    <mergeCell ref="G57:I57"/>
    <mergeCell ref="J57:K57"/>
    <mergeCell ref="L57:M57"/>
    <mergeCell ref="C58:D58"/>
    <mergeCell ref="E58:F58"/>
    <mergeCell ref="G58:I58"/>
    <mergeCell ref="J58:K58"/>
    <mergeCell ref="L58:M58"/>
    <mergeCell ref="C59:D59"/>
    <mergeCell ref="E59:F59"/>
    <mergeCell ref="G59:I59"/>
    <mergeCell ref="J59:K59"/>
    <mergeCell ref="L59:M59"/>
    <mergeCell ref="C63:D63"/>
    <mergeCell ref="E63:F63"/>
    <mergeCell ref="G63:I63"/>
    <mergeCell ref="J63:K63"/>
    <mergeCell ref="L63:M63"/>
    <mergeCell ref="C64:D64"/>
    <mergeCell ref="E64:F64"/>
    <mergeCell ref="G64:I64"/>
    <mergeCell ref="J64:K64"/>
    <mergeCell ref="L64:M64"/>
    <mergeCell ref="C65:D65"/>
    <mergeCell ref="E65:F65"/>
    <mergeCell ref="G65:I65"/>
    <mergeCell ref="J65:K65"/>
    <mergeCell ref="L65:M65"/>
    <mergeCell ref="C66:D66"/>
    <mergeCell ref="E66:F66"/>
    <mergeCell ref="G66:I66"/>
    <mergeCell ref="J66:K66"/>
    <mergeCell ref="L66:M66"/>
    <mergeCell ref="C67:D67"/>
    <mergeCell ref="E67:F67"/>
    <mergeCell ref="G67:I67"/>
    <mergeCell ref="J67:K67"/>
    <mergeCell ref="L67:M67"/>
    <mergeCell ref="C68:D68"/>
    <mergeCell ref="E68:F68"/>
    <mergeCell ref="G68:H68"/>
    <mergeCell ref="I68:J68"/>
    <mergeCell ref="L68:M68"/>
    <mergeCell ref="C69:D69"/>
    <mergeCell ref="E69:F69"/>
    <mergeCell ref="G69:H69"/>
    <mergeCell ref="I69:J69"/>
    <mergeCell ref="L69:M69"/>
    <mergeCell ref="C70:D70"/>
    <mergeCell ref="E70:F70"/>
    <mergeCell ref="G70:H70"/>
    <mergeCell ref="I70:J70"/>
    <mergeCell ref="L70:M70"/>
    <mergeCell ref="C71:D71"/>
    <mergeCell ref="E71:F71"/>
    <mergeCell ref="G71:H71"/>
    <mergeCell ref="I71:J71"/>
    <mergeCell ref="L71:M71"/>
    <mergeCell ref="C72:D72"/>
    <mergeCell ref="E72:F72"/>
    <mergeCell ref="G72:H72"/>
    <mergeCell ref="I72:J72"/>
    <mergeCell ref="L72:M72"/>
    <mergeCell ref="C73:D73"/>
    <mergeCell ref="E73:F73"/>
    <mergeCell ref="G73:H73"/>
    <mergeCell ref="I73:J73"/>
    <mergeCell ref="L73:M73"/>
    <mergeCell ref="C74:D74"/>
    <mergeCell ref="E74:F74"/>
    <mergeCell ref="G74:H74"/>
    <mergeCell ref="I74:J74"/>
    <mergeCell ref="L74:M74"/>
    <mergeCell ref="C75:D75"/>
    <mergeCell ref="E75:F75"/>
    <mergeCell ref="G75:H75"/>
    <mergeCell ref="I75:J75"/>
    <mergeCell ref="L75:M75"/>
    <mergeCell ref="C76:D76"/>
    <mergeCell ref="E76:F76"/>
    <mergeCell ref="G76:H76"/>
    <mergeCell ref="I76:J76"/>
    <mergeCell ref="L76:M76"/>
    <mergeCell ref="B78:O78"/>
    <mergeCell ref="B79:O79"/>
    <mergeCell ref="C80:E80"/>
    <mergeCell ref="F80:G80"/>
    <mergeCell ref="Z80:AA80"/>
    <mergeCell ref="C81:E81"/>
    <mergeCell ref="F81:G81"/>
    <mergeCell ref="Z81:AA81"/>
    <mergeCell ref="C82:E82"/>
    <mergeCell ref="F82:G82"/>
    <mergeCell ref="Z82:AA82"/>
    <mergeCell ref="C83:E83"/>
    <mergeCell ref="F83:G83"/>
    <mergeCell ref="Z83:AA83"/>
    <mergeCell ref="C84:E84"/>
    <mergeCell ref="F84:G84"/>
    <mergeCell ref="Z84:AA84"/>
    <mergeCell ref="B85:L85"/>
    <mergeCell ref="N85:O85"/>
    <mergeCell ref="B86:O86"/>
    <mergeCell ref="C87:E87"/>
    <mergeCell ref="F87:G87"/>
    <mergeCell ref="AB87:AC87"/>
    <mergeCell ref="C88:E88"/>
    <mergeCell ref="F88:G88"/>
    <mergeCell ref="AB88:AC88"/>
    <mergeCell ref="C89:E89"/>
    <mergeCell ref="F89:G89"/>
    <mergeCell ref="AB89:AC89"/>
    <mergeCell ref="B90:L90"/>
    <mergeCell ref="N90:O90"/>
    <mergeCell ref="B91:O91"/>
    <mergeCell ref="C92:F92"/>
    <mergeCell ref="Y92:Z92"/>
    <mergeCell ref="AA92:AB92"/>
    <mergeCell ref="C93:F93"/>
    <mergeCell ref="Y93:Z93"/>
    <mergeCell ref="AA93:AB93"/>
    <mergeCell ref="C94:F94"/>
    <mergeCell ref="Y94:Z94"/>
    <mergeCell ref="AA94:AB94"/>
    <mergeCell ref="C95:F95"/>
    <mergeCell ref="Y95:Z95"/>
    <mergeCell ref="AA95:AB95"/>
    <mergeCell ref="C96:F96"/>
    <mergeCell ref="Y96:Z96"/>
    <mergeCell ref="AA96:AB96"/>
    <mergeCell ref="C97:F97"/>
    <mergeCell ref="Y97:Z97"/>
    <mergeCell ref="AA97:AB97"/>
    <mergeCell ref="B98:L98"/>
    <mergeCell ref="N98:O98"/>
    <mergeCell ref="B99:O99"/>
    <mergeCell ref="D100:F100"/>
    <mergeCell ref="G100:H100"/>
    <mergeCell ref="V100:W100"/>
    <mergeCell ref="X100:Y100"/>
    <mergeCell ref="D101:F101"/>
    <mergeCell ref="G101:H101"/>
    <mergeCell ref="V101:W101"/>
    <mergeCell ref="X101:Y101"/>
    <mergeCell ref="D102:F102"/>
    <mergeCell ref="G102:H102"/>
    <mergeCell ref="V102:W102"/>
    <mergeCell ref="X102:Y102"/>
    <mergeCell ref="B103:L103"/>
    <mergeCell ref="N103:O103"/>
    <mergeCell ref="B104:O104"/>
    <mergeCell ref="C105:E105"/>
    <mergeCell ref="F105:G105"/>
    <mergeCell ref="C106:E106"/>
    <mergeCell ref="F106:G106"/>
    <mergeCell ref="C107:E107"/>
    <mergeCell ref="F107:G107"/>
    <mergeCell ref="C108:E108"/>
    <mergeCell ref="F108:G108"/>
    <mergeCell ref="B109:L109"/>
    <mergeCell ref="N109:O109"/>
    <mergeCell ref="B110:O110"/>
    <mergeCell ref="C111:F111"/>
    <mergeCell ref="G111:H111"/>
    <mergeCell ref="C112:F112"/>
    <mergeCell ref="G112:H112"/>
    <mergeCell ref="C113:F113"/>
    <mergeCell ref="G113:H113"/>
    <mergeCell ref="C114:F114"/>
    <mergeCell ref="G114:H114"/>
    <mergeCell ref="B115:L115"/>
    <mergeCell ref="N115:O115"/>
    <mergeCell ref="B116:O116"/>
    <mergeCell ref="D117:F117"/>
    <mergeCell ref="G117:H117"/>
    <mergeCell ref="D118:F118"/>
    <mergeCell ref="G118:H118"/>
    <mergeCell ref="D119:F119"/>
    <mergeCell ref="G119:H119"/>
    <mergeCell ref="B120:L120"/>
    <mergeCell ref="N120:O120"/>
    <mergeCell ref="B121:O121"/>
    <mergeCell ref="C122:D122"/>
    <mergeCell ref="F122:G122"/>
    <mergeCell ref="R122:S122"/>
    <mergeCell ref="C123:D123"/>
    <mergeCell ref="F123:G123"/>
    <mergeCell ref="R123:S123"/>
    <mergeCell ref="C124:D124"/>
    <mergeCell ref="F124:G124"/>
    <mergeCell ref="R124:S124"/>
    <mergeCell ref="B125:L125"/>
    <mergeCell ref="N125:O125"/>
    <mergeCell ref="B126:O126"/>
    <mergeCell ref="D127:E127"/>
    <mergeCell ref="F127:G127"/>
    <mergeCell ref="H127:I127"/>
    <mergeCell ref="J127:K127"/>
    <mergeCell ref="R127:S127"/>
    <mergeCell ref="D128:E128"/>
    <mergeCell ref="F128:G128"/>
    <mergeCell ref="H128:I128"/>
    <mergeCell ref="J128:K128"/>
    <mergeCell ref="R128:S128"/>
    <mergeCell ref="B129:L129"/>
    <mergeCell ref="N129:O129"/>
    <mergeCell ref="B130:O130"/>
    <mergeCell ref="C131:D131"/>
    <mergeCell ref="F131:G131"/>
    <mergeCell ref="R131:S131"/>
    <mergeCell ref="C132:D132"/>
    <mergeCell ref="F132:G132"/>
    <mergeCell ref="R132:S132"/>
    <mergeCell ref="B133:L133"/>
    <mergeCell ref="N133:O133"/>
    <mergeCell ref="B134:O134"/>
    <mergeCell ref="D135:F135"/>
    <mergeCell ref="G135:H135"/>
    <mergeCell ref="D136:F136"/>
    <mergeCell ref="G136:H136"/>
    <mergeCell ref="D137:F137"/>
    <mergeCell ref="G137:H137"/>
    <mergeCell ref="D138:F138"/>
    <mergeCell ref="G138:H138"/>
    <mergeCell ref="B139:L139"/>
    <mergeCell ref="N139:O139"/>
    <mergeCell ref="B140:O140"/>
    <mergeCell ref="C141:D141"/>
    <mergeCell ref="F141:H141"/>
    <mergeCell ref="I141:K141"/>
    <mergeCell ref="C142:D142"/>
    <mergeCell ref="F142:H142"/>
    <mergeCell ref="I142:K142"/>
    <mergeCell ref="C143:D143"/>
    <mergeCell ref="F143:H143"/>
    <mergeCell ref="I143:K143"/>
    <mergeCell ref="B144:L144"/>
    <mergeCell ref="N144:O144"/>
    <mergeCell ref="B145:O145"/>
    <mergeCell ref="C146:D146"/>
    <mergeCell ref="F146:G146"/>
    <mergeCell ref="C147:D147"/>
    <mergeCell ref="F147:G147"/>
    <mergeCell ref="C148:D148"/>
    <mergeCell ref="F148:G148"/>
    <mergeCell ref="C149:D149"/>
    <mergeCell ref="F149:G149"/>
    <mergeCell ref="B150:L150"/>
    <mergeCell ref="N150:O150"/>
    <mergeCell ref="B151:O151"/>
    <mergeCell ref="C152:D152"/>
    <mergeCell ref="F152:G152"/>
    <mergeCell ref="S152:T152"/>
    <mergeCell ref="U152:V152"/>
    <mergeCell ref="C153:D153"/>
    <mergeCell ref="F153:G153"/>
    <mergeCell ref="S153:T153"/>
    <mergeCell ref="U153:V153"/>
    <mergeCell ref="C154:D154"/>
    <mergeCell ref="F154:G154"/>
    <mergeCell ref="S154:T154"/>
    <mergeCell ref="U154:V154"/>
    <mergeCell ref="C155:D155"/>
    <mergeCell ref="F155:G155"/>
    <mergeCell ref="S155:T155"/>
    <mergeCell ref="U155:V155"/>
    <mergeCell ref="B156:L156"/>
    <mergeCell ref="N156:O156"/>
    <mergeCell ref="B157:O157"/>
    <mergeCell ref="C158:D158"/>
    <mergeCell ref="E158:F158"/>
    <mergeCell ref="G158:H158"/>
    <mergeCell ref="C159:D159"/>
    <mergeCell ref="E159:F159"/>
    <mergeCell ref="G159:H159"/>
    <mergeCell ref="C160:D160"/>
    <mergeCell ref="E160:F160"/>
    <mergeCell ref="G160:H160"/>
    <mergeCell ref="B161:L161"/>
    <mergeCell ref="N161:O161"/>
    <mergeCell ref="B162:O162"/>
    <mergeCell ref="C163:D163"/>
    <mergeCell ref="E163:F163"/>
    <mergeCell ref="G163:H163"/>
    <mergeCell ref="C164:D164"/>
    <mergeCell ref="E164:F164"/>
    <mergeCell ref="G164:H164"/>
    <mergeCell ref="C165:D165"/>
    <mergeCell ref="E165:F165"/>
    <mergeCell ref="G165:H165"/>
    <mergeCell ref="C166:D166"/>
    <mergeCell ref="E166:F166"/>
    <mergeCell ref="G166:H166"/>
    <mergeCell ref="B167:L167"/>
    <mergeCell ref="N167:O167"/>
    <mergeCell ref="B168:O168"/>
    <mergeCell ref="D169:F169"/>
    <mergeCell ref="D170:F170"/>
    <mergeCell ref="D171:F171"/>
    <mergeCell ref="D172:F172"/>
    <mergeCell ref="D173:F173"/>
    <mergeCell ref="B174:L174"/>
    <mergeCell ref="N174:O174"/>
    <mergeCell ref="B175:O175"/>
    <mergeCell ref="D176:F176"/>
    <mergeCell ref="D177:F177"/>
    <mergeCell ref="D178:F178"/>
    <mergeCell ref="B179:L179"/>
    <mergeCell ref="N179:O179"/>
    <mergeCell ref="B180:O180"/>
    <mergeCell ref="C181:D181"/>
    <mergeCell ref="F181:H181"/>
    <mergeCell ref="I181:K181"/>
    <mergeCell ref="U181:V181"/>
    <mergeCell ref="C182:D182"/>
    <mergeCell ref="F182:H182"/>
    <mergeCell ref="I182:K182"/>
    <mergeCell ref="U182:V182"/>
    <mergeCell ref="C183:D183"/>
    <mergeCell ref="F183:H183"/>
    <mergeCell ref="I183:K183"/>
    <mergeCell ref="U183:V183"/>
    <mergeCell ref="B184:L184"/>
    <mergeCell ref="N184:O184"/>
    <mergeCell ref="B185:O185"/>
    <mergeCell ref="C186:D186"/>
    <mergeCell ref="F186:G186"/>
    <mergeCell ref="C187:D187"/>
    <mergeCell ref="F187:G187"/>
    <mergeCell ref="C188:D188"/>
    <mergeCell ref="F188:G188"/>
    <mergeCell ref="C189:D189"/>
    <mergeCell ref="F189:G189"/>
    <mergeCell ref="C190:D190"/>
    <mergeCell ref="F190:G190"/>
    <mergeCell ref="C191:D191"/>
    <mergeCell ref="F191:G191"/>
    <mergeCell ref="B192:L192"/>
    <mergeCell ref="N192:O192"/>
    <mergeCell ref="B193:O193"/>
    <mergeCell ref="B194:O194"/>
    <mergeCell ref="C195:E195"/>
    <mergeCell ref="F195:G195"/>
    <mergeCell ref="H195:J195"/>
    <mergeCell ref="K195:M195"/>
    <mergeCell ref="N195:O195"/>
    <mergeCell ref="C196:E196"/>
    <mergeCell ref="F196:G196"/>
    <mergeCell ref="H196:J196"/>
    <mergeCell ref="K196:M196"/>
    <mergeCell ref="N196:O196"/>
    <mergeCell ref="C197:D197"/>
    <mergeCell ref="F197:G197"/>
    <mergeCell ref="H197:I197"/>
    <mergeCell ref="J197:K197"/>
    <mergeCell ref="L197:M197"/>
    <mergeCell ref="C198:D198"/>
    <mergeCell ref="F198:G198"/>
    <mergeCell ref="H198:I198"/>
    <mergeCell ref="J198:K198"/>
    <mergeCell ref="L198:M198"/>
    <mergeCell ref="C199:D199"/>
    <mergeCell ref="F199:G199"/>
    <mergeCell ref="H199:K199"/>
    <mergeCell ref="L199:M199"/>
    <mergeCell ref="N199:O199"/>
    <mergeCell ref="C200:D200"/>
    <mergeCell ref="F200:G200"/>
    <mergeCell ref="H200:K200"/>
    <mergeCell ref="L200:M200"/>
    <mergeCell ref="N200:O200"/>
    <mergeCell ref="C201:D201"/>
    <mergeCell ref="F201:G201"/>
    <mergeCell ref="H201:I201"/>
    <mergeCell ref="L201:M201"/>
    <mergeCell ref="C202:D202"/>
    <mergeCell ref="F202:G202"/>
    <mergeCell ref="H202:I202"/>
    <mergeCell ref="L202:M202"/>
    <mergeCell ref="C203:D203"/>
    <mergeCell ref="F203:G203"/>
    <mergeCell ref="H203:I203"/>
    <mergeCell ref="J203:K203"/>
    <mergeCell ref="L203:M203"/>
    <mergeCell ref="N203:O203"/>
    <mergeCell ref="C204:D204"/>
    <mergeCell ref="F204:G204"/>
    <mergeCell ref="H204:I204"/>
    <mergeCell ref="J204:K204"/>
    <mergeCell ref="L204:M204"/>
    <mergeCell ref="N204:O204"/>
    <mergeCell ref="C205:D205"/>
    <mergeCell ref="F205:G205"/>
    <mergeCell ref="H205:I205"/>
    <mergeCell ref="J205:K205"/>
    <mergeCell ref="L205:M205"/>
    <mergeCell ref="C206:D206"/>
    <mergeCell ref="F206:G206"/>
    <mergeCell ref="H206:I206"/>
    <mergeCell ref="J206:K206"/>
    <mergeCell ref="L206:M206"/>
    <mergeCell ref="C207:D207"/>
    <mergeCell ref="F207:G207"/>
    <mergeCell ref="H207:I207"/>
    <mergeCell ref="J207:K207"/>
    <mergeCell ref="L207:M207"/>
    <mergeCell ref="N207:O207"/>
    <mergeCell ref="C208:D208"/>
    <mergeCell ref="F208:G208"/>
    <mergeCell ref="H208:I208"/>
    <mergeCell ref="J208:K208"/>
    <mergeCell ref="L208:M208"/>
    <mergeCell ref="N208:O208"/>
    <mergeCell ref="C209:D209"/>
    <mergeCell ref="E209:F209"/>
    <mergeCell ref="G209:H209"/>
    <mergeCell ref="I209:J209"/>
    <mergeCell ref="K209:M209"/>
    <mergeCell ref="N209:O209"/>
    <mergeCell ref="S209:T209"/>
    <mergeCell ref="C210:D210"/>
    <mergeCell ref="E210:F210"/>
    <mergeCell ref="G210:H210"/>
    <mergeCell ref="I210:J210"/>
    <mergeCell ref="K210:M210"/>
    <mergeCell ref="N210:O210"/>
    <mergeCell ref="S210:T210"/>
    <mergeCell ref="B211:E211"/>
    <mergeCell ref="F211:G211"/>
    <mergeCell ref="H211:J211"/>
    <mergeCell ref="K211:O211"/>
    <mergeCell ref="C212:O212"/>
    <mergeCell ref="C213:O213"/>
    <mergeCell ref="C214:O214"/>
    <mergeCell ref="B31:B33"/>
    <mergeCell ref="B34:B35"/>
    <mergeCell ref="B36:B45"/>
    <mergeCell ref="B46:B47"/>
    <mergeCell ref="B48:B49"/>
    <mergeCell ref="B50:B51"/>
    <mergeCell ref="B52:B67"/>
    <mergeCell ref="B68:B76"/>
    <mergeCell ref="B195:B196"/>
    <mergeCell ref="B197:B200"/>
    <mergeCell ref="B201:B208"/>
    <mergeCell ref="B209:B210"/>
  </mergeCells>
  <dataValidations count="57">
    <dataValidation allowBlank="1" showErrorMessage="1" sqref="B6:K6 L6 M6 N6 B7:K7 L7 M7 N7 B8:K8 L8 M8 N8 B9:G9 H9:J9 K9 L9 M9 B10:K10 L10 M10 L11:L13 M11:M13 N9:N10 N11:N13 B11:K13"/>
    <dataValidation allowBlank="1" showErrorMessage="1" prompt="请在下拉列表中选择填写内容！" sqref="G14:I14 G16 H16 I16 C34:D34 E34 F34 H34 J34 N35:O35 C36:D36 E36 F36:G36 H36 J36 N37:O37 N38:O38 N39:O39 N45:O45 C46:D46 E46 F46 H46 J46 N47:O47 C48:D48 E48 F48 H48 J48 N49:O49 C50:D50 E50 F50 H50 I50 N51:O51 C52:D52 E52 F52:G52 H52 J52 N53:O53 N54:O54 N55:O55 N59:O59 N66:O66 N67:O67 C68:D68 E68 F68:G68 H68 I68 N69:O69 N70:O70 N71:O71 N75:O75 N76:O76 C85:H85 C90:H90 C98:H98 C103:H103 C109:H109 C115:H115 C120:H120 C125:H125 C129:H129 C133:H133 C139:H139 C144:H144 C150:H150 C156:H156 C161:H161 C167:H167 C174:H174 C179:H179 C184:H184 C192:H192 K195 L195 D196 J197 N198 H199 J199:M199 N199 H200 K200 L200 N200 J201 N202 H203 J203 H204 J205 H207 J207 H208 H209 K209 L209 M209 N209 H210 K210 L210 M210 N210 D211 E211 K211 L211 E197:E199 E201:E203 E205:E207 H17:H19 I17:I19 I195:I196 I197:I198 I201:I202 I205:I206 K197:K198 K201:K204 K205:K208 L197:L198 L201:L204 L205:L208 M195:M196 M197:M198 M201:M204 M205:M208 N41:N44 N195:N196 N206:N208 O41:O44 C32:G33 N60:O62 N63:O65 N72:O74 N56:O58"/>
    <dataValidation allowBlank="1" showErrorMessage="1" prompt="请不要在姓名中间添加空格！" sqref="G15:I15"/>
    <dataValidation type="list" allowBlank="1" showInputMessage="1" showErrorMessage="1" sqref="G17">
      <formula1>"专业技术四级,专业技术六级,专业技术七级,专业技术九级,专业技术十级,专业技术十二级"</formula1>
    </dataValidation>
    <dataValidation type="list" allowBlank="1" showErrorMessage="1" prompt="请在下拉列表中选择填写内容！" sqref="G18">
      <formula1>"专业教师组,基础教师组,学生思想政治教育教师组,非教师专业技术组"</formula1>
    </dataValidation>
    <dataValidation type="list" allowBlank="1" showErrorMessage="1" prompt="请在下拉列表中选择填写内容！" sqref="G19">
      <formula1>"专业技术三级,专业技术五级,专业技术六级,专业技术八级,专业技术九级,专业技术十一级"</formula1>
    </dataValidation>
    <dataValidation type="list" allowBlank="1" showErrorMessage="1" prompt="请在下拉列表中选择填写内容！" sqref="F24 F25 F77 F193">
      <formula1>"男,女"</formula1>
    </dataValidation>
    <dataValidation allowBlank="1" showErrorMessage="1" prompt="请规范填写时间！格式为“1999年10月”" sqref="H24:J24 I25 L25 H26:I26 H27:I27 I29:J29 I30:J30 B31 J31 H77:J77 B85 K85 L85 B90 K90 L90 B98 K98 L98 B103 K103 L103 B109 K109 L109 B115 K115 L115 B120 K120 L120 B125 J125 K125 L125 B129 J129 K129 L129 B133 J133 K133 L133 B139 J139 K139 L139 B144 K144 L144 B150 K150 L150 B156 K156 L156 B161 K161 L161 B167 K167 L167 B174 J174 K174 L174 B179 J179 K179 L179 B184 K184 L184 B192 J192 K192 L192 H193:J193 I88:I89"/>
    <dataValidation type="list" allowBlank="1" showInputMessage="1" showErrorMessage="1" sqref="D26:E26">
      <formula1>"博士,硕士,学士,无学位（本科毕业）,其他"</formula1>
    </dataValidation>
    <dataValidation type="list" allowBlank="1" showInputMessage="1" showErrorMessage="1" sqref="K29:O29">
      <formula1>"专任教师,二级教学单位负责人,“双肩挑”人员,非教学单位人员"</formula1>
    </dataValidation>
    <dataValidation type="whole" operator="between" allowBlank="1" showErrorMessage="1" prompt="请在下拉列表中选择填写内容！" sqref="O33">
      <formula1>0</formula1>
      <formula2>10-J33</formula2>
    </dataValidation>
    <dataValidation type="list" allowBlank="1" showErrorMessage="1" prompt="请在下拉列表中选择填写内容！" sqref="C35:M35">
      <formula1>"A档,B档,C档,D档"</formula1>
    </dataValidation>
    <dataValidation type="list" allowBlank="1" showErrorMessage="1" prompt="请在下拉列表中选择填写内容！" sqref="B81 B84 B82:B83">
      <formula1>其他参数!$A$2:$A$9</formula1>
    </dataValidation>
    <dataValidation allowBlank="1" showErrorMessage="1" prompt="如被SCI、EI、SSCI、CSSCI等收录，请注明，并请注明几区及影响因子，著作还应注明撰写部分及字数" sqref="F81 F84 F88 F89 F82:F83"/>
    <dataValidation type="list" allowBlank="1" showErrorMessage="1" prompt="请规范填写时间！格式为“1999年10月”" sqref="H81 H84 H82:H83">
      <formula1>"是,否"</formula1>
    </dataValidation>
    <dataValidation type="list" allowBlank="1" showErrorMessage="1" prompt="请规范填写！格式为：“专著”“主编”“n/m”等" sqref="I81 I84 H93 H106 I132 H94:H95 H96:H97 H107:H108 I82:I83 I101:I102 I112:I114 I118:I119 I123:I124 I153:I155 I159:I160 I164:I166 I170:I173 I177:I178 I187:I191 J136:J138">
      <formula1>"独立完成,合作完成"</formula1>
    </dataValidation>
    <dataValidation type="whole" operator="between" allowBlank="1" showInputMessage="1" showErrorMessage="1" error="必须输入数字！" sqref="J81 J84 I93 I106 I94:I95 I96:I97 I107:I108 J82:J83 J101:J102 J112:J114 J118:J119" errorStyle="warning">
      <formula1>2</formula1>
      <formula2>100</formula2>
    </dataValidation>
    <dataValidation type="whole" operator="between" allowBlank="1" showErrorMessage="1" error="请正确填写！！" prompt="请规范填写时间！格式为“1999年10月”" sqref="K81 K84 J93 J106 K128 K132 J94:J95 J96:J97 J107:J108 K82:K83 K101:K102 K112:K114 K118:K119 K123:K124 K170:K173 K187:K191 L81:L84 L112:L114 L136:L138">
      <formula1>1</formula1>
      <formula2>I81</formula2>
    </dataValidation>
    <dataValidation allowBlank="1" showErrorMessage="1" prompt="请规范填写！格式为：“专著”“主编”“n/m”等" sqref="N83 N84 J85 M85 N85 J90 M90 N90 L93 M93 N93 J98 M98 N98 J103 M103 N103 K106 L106 M106 N106 J109 M109 N109 N112 N113 N114 J115 M115 N115 J120 M120 N120 M125 N125 F128 G128 H128 M129 N129 F132 G132 H132 M133 N133 M139 N139 J144 M144 N144 J150 M150 N150 J156 M156 N156 J161 M161 N161 J167 M167 N167 M174 N174 M179 N179 J184 M184 N184 M192 N192 F187:F191 G112:G114 G136:G138 G170:G173 G187:G191 H136:H138 H170:H173 H187:H191 I136:I138 J88:J89 K93:K97 K107:K108 L88:L89 L94:L95 L96:L97 L107:L108 M81:M84 M88:M89 M94:M95 M96:M97 M107:M108 M112:M114 N81:N82 N88:N89 N94:N95 N96:N97 N107:N108 F123:H124"/>
    <dataValidation allowBlank="1" showErrorMessage="1" prompt="如“类别”栏选择“课程”，请填写精品课程名称！如“《现代教育技术》国家级精品课程”" sqref="C93 C94:C95 C96:C97 C106:C108 D101:D102 D118:D119"/>
    <dataValidation allowBlank="1" showErrorMessage="1" prompt="请规范填写！格式为：“主持人”“主编”“n/m”等" sqref="G93 G101 G102 G118 G119 F142 F143 F182 F183 C112:C114 F106:F108 F147:F149 F153:F155 F159:F160 F164:F166 G94:G95 G96:G97"/>
    <dataValidation type="list" allowBlank="1" showInputMessage="1" showErrorMessage="1" sqref="B118 B119">
      <formula1>"国家自然科学奖,国家科技进步奖,国家技术发明奖,国家社会科学奖,省科技进步奖"</formula1>
    </dataValidation>
    <dataValidation type="list" allowBlank="1" showErrorMessage="1" prompt="请规范填写时间！格式为“1999年10月”" sqref="C123 C124 C187:D187 C188:D191">
      <formula1>INDIRECT(B123)</formula1>
    </dataValidation>
    <dataValidation type="list" allowBlank="1" showInputMessage="1" showErrorMessage="1" sqref="D123 D124 E132 C177 C178 E123:E124 E187:E191 C159:D160 C153:D155 C164:D166">
      <formula1>"国家级,省级,市级,校级"</formula1>
    </dataValidation>
    <dataValidation type="list" allowBlank="1" showInputMessage="1" showErrorMessage="1" sqref="B128">
      <formula1>"培养青年教师"</formula1>
    </dataValidation>
    <dataValidation allowBlank="1" showErrorMessage="1" error="请正确填写！！" prompt="请规范填写时间！格式为“1999年10月”" sqref="J128 J132 J123:J124 J170:J173 J187:J191 K136:K138"/>
    <dataValidation allowBlank="1" showErrorMessage="1" prompt="如：“陕西省人民政府”,“陕西省教育厅”,“教育部”等。" sqref="M128 N128 M132 N132 N147 N148 N149 N153 N154 N155 N159 N160 N164 N165 N166 N177 N178 N189 N190 N191 M101:M102 M118:M119 M123:M124 M136:M138 M142:M143 M147:M149 M153:M155 M159:M160 M164:M166 M170:M173 M177:M178 M182:M183 M187:M191 N101:N102 N118:N119 N123:N124 N136:N138 N142:N143 N170:N171 N172:N173 N182:N183 N187:N188"/>
    <dataValidation type="list" allowBlank="1" showInputMessage="1" showErrorMessage="1" sqref="B132">
      <formula1>"师资培养成绩"</formula1>
    </dataValidation>
    <dataValidation type="list" allowBlank="1" showErrorMessage="1" prompt="请规范填写时间！格式为“1999年10月”" sqref="C132:D132">
      <formula1>"培养对象获得成果"</formula1>
    </dataValidation>
    <dataValidation type="list" allowBlank="1" showInputMessage="1" showErrorMessage="1" sqref="E153 E154:E155">
      <formula1>INDIRECT(B153)</formula1>
    </dataValidation>
    <dataValidation type="list" allowBlank="1" showErrorMessage="1" prompt="请在下拉列表中选择填写内容！" sqref="B88:B89">
      <formula1>其他参数!$B$2:$B$10</formula1>
    </dataValidation>
    <dataValidation type="list" allowBlank="1" showInputMessage="1" showErrorMessage="1" sqref="B93:B97">
      <formula1>其他参数!$C$2:$C$5</formula1>
    </dataValidation>
    <dataValidation type="list" allowBlank="1" showInputMessage="1" showErrorMessage="1" sqref="B101:B102">
      <formula1>其他参数!$E$2:$E$6</formula1>
    </dataValidation>
    <dataValidation type="list" allowBlank="1" showInputMessage="1" showErrorMessage="1" sqref="B106:B108">
      <formula1>"横向技术项目"</formula1>
    </dataValidation>
    <dataValidation type="list" allowBlank="1" showInputMessage="1" showErrorMessage="1" sqref="B112:B114">
      <formula1>其他参数!$D$2:$D$5</formula1>
    </dataValidation>
    <dataValidation type="list" allowBlank="1" showInputMessage="1" showErrorMessage="1" sqref="B123:B124">
      <formula1>"团队建设"</formula1>
    </dataValidation>
    <dataValidation type="list" allowBlank="1" showErrorMessage="1" prompt="请规范填写时间！格式为“1999年10月”" sqref="B136:B138">
      <formula1>其他参数!$F$2:$F$6</formula1>
    </dataValidation>
    <dataValidation type="list" allowBlank="1" showInputMessage="1" showErrorMessage="1" sqref="B142:B143">
      <formula1>"专业技术职称证书,职业技能证书"</formula1>
    </dataValidation>
    <dataValidation type="list" allowBlank="1" showInputMessage="1" showErrorMessage="1" sqref="B147:B149">
      <formula1>"基地建设改造能力,企业一线工作经历"</formula1>
    </dataValidation>
    <dataValidation type="list" allowBlank="1" showInputMessage="1" showErrorMessage="1" sqref="B153:B155">
      <formula1>"项目设计能力"</formula1>
    </dataValidation>
    <dataValidation type="list" allowBlank="1" showInputMessage="1" showErrorMessage="1" sqref="B159:B160">
      <formula1>"推广、开发新技术,推广、开发新工艺,推广、开发新产品,处理技术问题"</formula1>
    </dataValidation>
    <dataValidation type="list" allowBlank="1" showInputMessage="1" showErrorMessage="1" sqref="B164:B166">
      <formula1>"专项技术分析报告,可行性研究报告"</formula1>
    </dataValidation>
    <dataValidation type="list" allowBlank="1" showErrorMessage="1" prompt="请规范填写时间！格式为“1999年10月”" sqref="B170:B173">
      <formula1>其他参数!$G$2:$G$7</formula1>
    </dataValidation>
    <dataValidation type="list" allowBlank="1" showInputMessage="1" showErrorMessage="1" sqref="B177:B178">
      <formula1>"1+X 证书试点考点"</formula1>
    </dataValidation>
    <dataValidation type="list" allowBlank="1" showInputMessage="1" showErrorMessage="1" sqref="B182:B183">
      <formula1>"服务专业领域,服务行业企业"</formula1>
    </dataValidation>
    <dataValidation type="list" allowBlank="1" showInputMessage="1" showErrorMessage="1" sqref="B187:B191">
      <formula1>数据引用表!$C$2:$C$8</formula1>
    </dataValidation>
    <dataValidation type="list" allowBlank="1" showInputMessage="1" showErrorMessage="1" sqref="C101:C102 C118:C119">
      <formula1>"一等奖,二等奖,三等奖,无等级"</formula1>
    </dataValidation>
    <dataValidation type="list" allowBlank="1" showInputMessage="1" showErrorMessage="1" sqref="C136:C138 C170:C173">
      <formula1>"一等奖,金奖,二等奖,银奖,三等奖,铜奖,无等级"</formula1>
    </dataValidation>
    <dataValidation type="list" allowBlank="1" showInputMessage="1" showErrorMessage="1" sqref="E147:E149">
      <formula1>"大型实训中心,实训基地,创新创业基地,企业一线工作"</formula1>
    </dataValidation>
    <dataValidation type="list" allowBlank="1" showInputMessage="1" showErrorMessage="1" sqref="E182:E183">
      <formula1>"专业领域专家,企业特聘专家,行业专家,评审专家,其他专家"</formula1>
    </dataValidation>
    <dataValidation type="list" allowBlank="1" showInputMessage="1" showErrorMessage="1" sqref="H88:H89">
      <formula1>"是,否"</formula1>
    </dataValidation>
    <dataValidation type="list" allowBlank="1" showInputMessage="1" showErrorMessage="1" sqref="I147:I149">
      <formula1>"独立完成,合作完成"</formula1>
    </dataValidation>
    <dataValidation type="list" allowBlank="1" showErrorMessage="1" prompt="请规范填写！格式为：“专著”“主编”“n/m”等" sqref="K88:K89">
      <formula1>"独著,第一主编,第二主编,参编"</formula1>
    </dataValidation>
    <dataValidation type="list" allowBlank="1" showInputMessage="1" showErrorMessage="1" sqref="C53:D54 C60:D62 C55:D59 C63:D67">
      <formula1>"国培项目,境外线上线下培训,一般培训进修"</formula1>
    </dataValidation>
    <dataValidation type="list" allowBlank="1" showInputMessage="1" showErrorMessage="1" sqref="C147:D149">
      <formula1>"国家级,省级,市级,校级,大型以上企业,中小型企业,微型企业"</formula1>
    </dataValidation>
    <dataValidation type="list" allowBlank="1" showInputMessage="1" showErrorMessage="1" sqref="C142:D143">
      <formula1>"高级,中级,初级,无等级"</formula1>
    </dataValidation>
    <dataValidation type="list" allowBlank="1" showInputMessage="1" showErrorMessage="1" sqref="C182:D183">
      <formula1>INDIRECT(B182)</formula1>
    </dataValidation>
  </dataValidations>
  <printOptions horizontalCentered="1" verticalCentered="1"/>
  <pageMargins left="0.4875" right="0.196527777777778" top="0.472222222222222" bottom="0.66875" header="0.590277777777778" footer="0.236111111111111"/>
  <pageSetup paperSize="9" firstPageNumber="0" orientation="landscape" blackAndWhite="1" useFirstPageNumber="1" horizontalDpi="600"/>
  <headerFooter alignWithMargins="0" scaleWithDoc="0" differentFirst="1">
    <oddFooter>&amp;C第 &amp;P 页</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87"/>
  <sheetViews>
    <sheetView workbookViewId="0">
      <selection activeCell="M13" sqref="M13"/>
    </sheetView>
  </sheetViews>
  <sheetFormatPr defaultColWidth="9" defaultRowHeight="12"/>
  <cols>
    <col min="1" max="1" width="5.25" style="11" customWidth="1"/>
    <col min="2" max="2" width="16" style="11" customWidth="1"/>
    <col min="3" max="3" width="8.375" style="11" customWidth="1"/>
    <col min="4" max="4" width="5.75" style="11" customWidth="1"/>
    <col min="5" max="5" width="12" style="11" customWidth="1"/>
    <col min="6" max="6" width="7.875" style="11" customWidth="1"/>
    <col min="7" max="8" width="14.5" style="11" customWidth="1"/>
    <col min="9" max="9" width="11.375" style="11" customWidth="1"/>
    <col min="10" max="10" width="11" style="11" customWidth="1"/>
    <col min="11" max="11" width="20" style="11" customWidth="1"/>
    <col min="12" max="12" width="17.5" style="11" customWidth="1"/>
    <col min="13" max="13" width="17.375" style="11" customWidth="1"/>
    <col min="14" max="14" width="17.625" style="11" customWidth="1"/>
    <col min="15" max="15" width="15.25" style="11" customWidth="1"/>
    <col min="16" max="16384" width="9" style="11"/>
  </cols>
  <sheetData>
    <row r="1" s="8" customFormat="1" ht="34.5" customHeight="1" spans="1:15">
      <c r="A1" s="12" t="s">
        <v>322</v>
      </c>
      <c r="B1" s="12"/>
      <c r="C1" s="12"/>
      <c r="D1" s="12"/>
      <c r="E1" s="12"/>
      <c r="F1" s="12"/>
      <c r="G1" s="12"/>
      <c r="H1" s="12"/>
      <c r="I1" s="12"/>
      <c r="J1" s="12"/>
      <c r="K1" s="12"/>
      <c r="L1" s="12"/>
      <c r="M1" s="12"/>
      <c r="N1" s="20"/>
      <c r="O1" s="20"/>
    </row>
    <row r="2" s="9" customFormat="1" ht="18" customHeight="1" spans="1:15">
      <c r="A2" s="13" t="s">
        <v>323</v>
      </c>
      <c r="B2" s="14" t="s">
        <v>30</v>
      </c>
      <c r="C2" s="13" t="s">
        <v>324</v>
      </c>
      <c r="D2" s="13" t="s">
        <v>325</v>
      </c>
      <c r="E2" s="14" t="s">
        <v>21</v>
      </c>
      <c r="F2" s="14" t="s">
        <v>22</v>
      </c>
      <c r="G2" s="14" t="s">
        <v>23</v>
      </c>
      <c r="H2" s="14" t="s">
        <v>33</v>
      </c>
      <c r="I2" s="21" t="s">
        <v>34</v>
      </c>
      <c r="J2" s="13" t="s">
        <v>326</v>
      </c>
      <c r="K2" s="13"/>
      <c r="L2" s="13"/>
      <c r="M2" s="13" t="s">
        <v>327</v>
      </c>
      <c r="N2" s="22" t="s">
        <v>328</v>
      </c>
      <c r="O2" s="13"/>
    </row>
    <row r="3" s="9" customFormat="1" ht="21" customHeight="1" spans="1:15">
      <c r="A3" s="13"/>
      <c r="B3" s="15"/>
      <c r="C3" s="13"/>
      <c r="D3" s="13"/>
      <c r="E3" s="15"/>
      <c r="F3" s="15"/>
      <c r="G3" s="15"/>
      <c r="H3" s="15"/>
      <c r="I3" s="23"/>
      <c r="J3" s="13" t="s">
        <v>128</v>
      </c>
      <c r="K3" s="13" t="s">
        <v>32</v>
      </c>
      <c r="L3" s="13" t="s">
        <v>27</v>
      </c>
      <c r="M3" s="13"/>
      <c r="N3" s="22" t="s">
        <v>314</v>
      </c>
      <c r="O3" s="13" t="s">
        <v>329</v>
      </c>
    </row>
    <row r="4" s="10" customFormat="1" ht="30" customHeight="1" spans="1:15">
      <c r="A4" s="16">
        <v>1</v>
      </c>
      <c r="B4" s="16">
        <f>量化赋分表!H14</f>
        <v>0</v>
      </c>
      <c r="C4" s="16">
        <f>量化赋分表!H15</f>
        <v>0</v>
      </c>
      <c r="D4" s="16">
        <f>量化赋分表!F25</f>
        <v>0</v>
      </c>
      <c r="E4" s="17">
        <f>量化赋分表!J25</f>
        <v>0</v>
      </c>
      <c r="F4" s="18" t="str">
        <f ca="1">量化赋分表!N25</f>
        <v/>
      </c>
      <c r="G4" s="16">
        <f>量化赋分表!D26</f>
        <v>0</v>
      </c>
      <c r="H4" s="16">
        <f>量化赋分表!D29</f>
        <v>0</v>
      </c>
      <c r="I4" s="16">
        <f>量化赋分表!K29</f>
        <v>0</v>
      </c>
      <c r="J4" s="16" t="str">
        <f>量化赋分表!D28</f>
        <v/>
      </c>
      <c r="K4" s="17">
        <f>量化赋分表!I28</f>
        <v>0</v>
      </c>
      <c r="L4" s="18" t="str">
        <f ca="1">量化赋分表!N28</f>
        <v/>
      </c>
      <c r="M4" s="16" t="str">
        <f>量化赋分表!H19</f>
        <v>副教授</v>
      </c>
      <c r="N4" s="16" t="str">
        <f ca="1">量化赋分表!F211</f>
        <v>否</v>
      </c>
      <c r="O4" s="24">
        <f ca="1">量化赋分表!K211</f>
        <v>0</v>
      </c>
    </row>
    <row r="5" s="8" customFormat="1" ht="11.25" spans="1:15">
      <c r="A5" s="19"/>
      <c r="B5" s="19"/>
      <c r="C5" s="19"/>
      <c r="D5" s="19"/>
      <c r="E5" s="19"/>
      <c r="F5" s="19"/>
      <c r="G5" s="19"/>
      <c r="H5" s="19"/>
      <c r="I5" s="19"/>
      <c r="J5" s="19"/>
      <c r="K5" s="19"/>
      <c r="L5" s="19"/>
      <c r="M5" s="19"/>
      <c r="N5" s="19"/>
      <c r="O5" s="19"/>
    </row>
    <row r="6" s="8" customFormat="1" ht="11.25"/>
    <row r="7" s="8" customFormat="1" ht="11.25"/>
    <row r="8" s="8" customFormat="1" ht="11.25"/>
    <row r="9" s="8" customFormat="1" ht="11.25"/>
    <row r="10" s="8" customFormat="1" ht="11.25"/>
    <row r="11" s="8" customFormat="1" ht="11.25"/>
    <row r="12" s="8" customFormat="1" ht="11.25"/>
    <row r="13" s="8" customFormat="1" ht="11.25"/>
    <row r="14" s="8" customFormat="1" ht="11.25"/>
    <row r="15" s="8" customFormat="1" ht="11.25"/>
    <row r="16" s="8" customFormat="1" ht="11.25"/>
    <row r="17" s="8" customFormat="1" ht="11.25"/>
    <row r="18" s="8" customFormat="1" ht="11.25"/>
    <row r="19" s="8" customFormat="1" ht="11.25"/>
    <row r="20" s="8" customFormat="1" ht="11.25"/>
    <row r="21" s="8" customFormat="1" ht="11.25"/>
    <row r="22" s="8" customFormat="1" ht="11.25"/>
    <row r="23" s="8" customFormat="1" ht="11.25"/>
    <row r="24" s="8" customFormat="1" ht="11.25"/>
    <row r="25" s="8" customFormat="1" ht="11.25"/>
    <row r="26" s="8" customFormat="1" ht="11.25"/>
    <row r="27" s="8" customFormat="1" ht="11.25"/>
    <row r="28" s="8" customFormat="1" ht="11.25"/>
    <row r="29" s="8" customFormat="1" ht="11.25"/>
    <row r="30" s="8" customFormat="1" ht="11.25"/>
    <row r="31" s="8" customFormat="1" ht="11.25"/>
    <row r="32" s="8" customFormat="1" ht="11.25"/>
    <row r="33" s="8" customFormat="1" ht="11.25"/>
    <row r="34" s="8" customFormat="1" ht="11.25"/>
    <row r="35" s="8" customFormat="1" ht="11.25"/>
    <row r="36" s="8" customFormat="1" ht="11.25"/>
    <row r="37" s="8" customFormat="1" ht="11.25"/>
    <row r="38" s="8" customFormat="1" ht="11.25"/>
    <row r="39" s="8" customFormat="1" ht="11.25"/>
    <row r="40" s="8" customFormat="1" ht="11.25"/>
    <row r="41" s="8" customFormat="1" ht="11.25"/>
    <row r="42" s="8" customFormat="1" ht="11.25"/>
    <row r="43" s="8" customFormat="1" ht="11.25"/>
    <row r="44" s="8" customFormat="1" ht="11.25"/>
    <row r="45" s="8" customFormat="1" ht="11.25"/>
    <row r="46" s="8" customFormat="1" ht="11.25"/>
    <row r="47" s="8" customFormat="1" ht="11.25"/>
    <row r="48" s="8" customFormat="1" ht="11.25"/>
    <row r="49" s="8" customFormat="1" ht="11.25"/>
    <row r="50" s="8" customFormat="1" ht="11.25"/>
    <row r="51" s="8" customFormat="1" ht="11.25"/>
    <row r="52" s="8" customFormat="1" ht="11.25"/>
    <row r="53" s="8" customFormat="1" ht="11.25"/>
    <row r="54" s="8" customFormat="1" ht="11.25"/>
    <row r="55" s="8" customFormat="1" ht="11.25"/>
    <row r="56" s="8" customFormat="1" ht="11.25"/>
    <row r="57" s="8" customFormat="1" ht="11.25"/>
    <row r="58" s="8" customFormat="1" ht="11.25"/>
    <row r="59" s="8" customFormat="1" ht="11.25"/>
    <row r="60" s="8" customFormat="1" ht="11.25"/>
    <row r="61" s="8" customFormat="1" ht="11.25"/>
    <row r="62" s="8" customFormat="1" ht="11.25"/>
    <row r="63" s="8" customFormat="1" ht="11.25"/>
    <row r="64" s="8" customFormat="1" ht="11.25"/>
    <row r="65" s="8" customFormat="1" ht="11.25"/>
    <row r="66" s="8" customFormat="1" ht="11.25"/>
    <row r="67" s="8" customFormat="1" ht="11.25"/>
    <row r="68" s="8" customFormat="1" ht="11.25"/>
    <row r="69" s="8" customFormat="1" ht="11.25"/>
    <row r="70" s="8" customFormat="1" ht="11.25"/>
    <row r="71" s="8" customFormat="1" ht="11.25"/>
    <row r="72" s="8" customFormat="1" ht="11.25"/>
    <row r="73" s="8" customFormat="1" ht="11.25"/>
    <row r="74" s="8" customFormat="1" ht="11.25"/>
    <row r="75" s="8" customFormat="1" ht="11.25"/>
    <row r="76" s="8" customFormat="1" ht="11.25"/>
    <row r="77" s="8" customFormat="1" ht="11.25"/>
    <row r="78" s="8" customFormat="1" ht="11.25"/>
    <row r="79" s="8" customFormat="1" ht="11.25"/>
    <row r="80" s="8" customFormat="1" ht="11.25"/>
    <row r="81" s="8" customFormat="1" ht="11.25"/>
    <row r="82" s="8" customFormat="1" ht="11.25"/>
    <row r="83" s="8" customFormat="1" ht="11.25"/>
    <row r="84" s="8" customFormat="1" ht="11.25"/>
    <row r="85" s="8" customFormat="1" ht="11.25"/>
    <row r="86" s="8" customFormat="1" ht="11.25"/>
    <row r="87" s="8" customFormat="1" ht="11.25"/>
    <row r="88" s="8" customFormat="1" ht="11.25"/>
    <row r="89" s="8" customFormat="1" ht="11.25"/>
    <row r="90" s="8" customFormat="1" ht="11.25"/>
    <row r="91" s="8" customFormat="1" ht="11.25"/>
    <row r="92" s="8" customFormat="1" ht="11.25"/>
    <row r="93" s="8" customFormat="1" ht="11.25"/>
    <row r="94" s="8" customFormat="1" ht="11.25"/>
    <row r="95" s="8" customFormat="1" ht="11.25"/>
    <row r="96" s="8" customFormat="1" ht="11.25"/>
    <row r="97" s="8" customFormat="1" ht="11.25"/>
    <row r="98" s="8" customFormat="1" ht="11.25"/>
    <row r="99" s="8" customFormat="1" ht="11.25"/>
    <row r="100" s="8" customFormat="1" ht="11.25"/>
    <row r="101" s="8" customFormat="1" ht="11.25"/>
    <row r="102" s="8" customFormat="1" ht="11.25"/>
    <row r="103" s="8" customFormat="1" ht="11.25"/>
    <row r="104" s="8" customFormat="1" ht="11.25"/>
    <row r="105" s="8" customFormat="1" ht="11.25"/>
    <row r="106" s="8" customFormat="1" ht="11.25"/>
    <row r="107" s="8" customFormat="1" ht="11.25"/>
    <row r="108" s="8" customFormat="1" ht="11.25"/>
    <row r="109" s="8" customFormat="1" ht="11.25"/>
    <row r="110" s="8" customFormat="1" ht="11.25"/>
    <row r="111" s="8" customFormat="1" ht="11.25"/>
    <row r="112" s="8" customFormat="1" ht="11.25"/>
    <row r="113" s="8" customFormat="1" ht="11.25"/>
    <row r="114" s="8" customFormat="1" ht="11.25"/>
    <row r="115" s="8" customFormat="1" ht="11.25"/>
    <row r="116" s="8" customFormat="1" ht="11.25"/>
    <row r="117" s="8" customFormat="1" ht="11.25"/>
    <row r="118" s="8" customFormat="1" ht="11.25"/>
    <row r="119" s="8" customFormat="1" ht="11.25"/>
    <row r="120" s="8" customFormat="1" ht="11.25"/>
    <row r="121" s="8" customFormat="1" ht="11.25"/>
    <row r="122" s="8" customFormat="1" ht="11.25"/>
    <row r="123" s="8" customFormat="1" ht="11.25"/>
    <row r="124" s="8" customFormat="1" ht="11.25"/>
    <row r="125" s="8" customFormat="1" ht="11.25"/>
    <row r="126" s="8" customFormat="1" ht="11.25"/>
    <row r="127" s="8" customFormat="1" ht="11.25"/>
    <row r="128" s="8" customFormat="1" ht="11.25"/>
    <row r="129" s="8" customFormat="1" ht="11.25"/>
    <row r="130" s="8" customFormat="1" ht="11.25"/>
    <row r="131" s="8" customFormat="1" ht="11.25"/>
    <row r="132" s="8" customFormat="1" ht="11.25"/>
    <row r="133" s="8" customFormat="1" ht="11.25"/>
    <row r="134" s="8" customFormat="1" ht="11.25"/>
    <row r="135" s="8" customFormat="1" ht="11.25"/>
    <row r="136" s="8" customFormat="1" ht="11.25"/>
    <row r="137" s="8" customFormat="1" ht="11.25"/>
    <row r="138" s="8" customFormat="1" ht="11.25"/>
    <row r="139" s="8" customFormat="1" ht="11.25"/>
    <row r="140" s="8" customFormat="1" ht="11.25"/>
    <row r="141" s="8" customFormat="1" ht="11.25"/>
    <row r="142" s="8" customFormat="1" ht="11.25"/>
    <row r="143" s="8" customFormat="1" ht="11.25"/>
    <row r="144" s="8" customFormat="1" ht="11.25"/>
    <row r="145" s="8" customFormat="1" ht="11.25"/>
    <row r="146" s="8" customFormat="1" ht="11.25"/>
    <row r="147" s="8" customFormat="1" ht="11.25"/>
    <row r="148" s="8" customFormat="1" ht="11.25"/>
    <row r="149" s="8" customFormat="1" ht="11.25"/>
    <row r="150" s="8" customFormat="1" ht="11.25"/>
    <row r="151" s="8" customFormat="1" ht="11.25"/>
    <row r="152" s="8" customFormat="1" ht="11.25"/>
    <row r="153" s="8" customFormat="1" ht="11.25"/>
    <row r="154" s="8" customFormat="1" ht="11.25"/>
    <row r="155" s="8" customFormat="1" ht="11.25"/>
    <row r="156" s="8" customFormat="1" ht="11.25"/>
    <row r="157" s="8" customFormat="1" ht="11.25"/>
    <row r="158" s="8" customFormat="1" ht="11.25"/>
    <row r="159" s="8" customFormat="1" ht="11.25"/>
    <row r="160" s="8" customFormat="1" ht="11.25"/>
    <row r="161" s="8" customFormat="1" ht="11.25"/>
    <row r="162" s="8" customFormat="1" ht="11.25"/>
    <row r="163" s="8" customFormat="1" ht="11.25"/>
    <row r="164" s="8" customFormat="1" ht="11.25"/>
    <row r="165" s="8" customFormat="1" ht="11.25"/>
    <row r="166" s="8" customFormat="1" ht="11.25"/>
    <row r="167" s="8" customFormat="1" ht="11.25"/>
    <row r="168" s="8" customFormat="1" ht="11.25"/>
    <row r="169" s="8" customFormat="1" ht="11.25"/>
    <row r="170" s="8" customFormat="1" ht="11.25"/>
    <row r="171" s="8" customFormat="1" ht="11.25"/>
    <row r="172" s="8" customFormat="1" ht="11.25"/>
    <row r="173" s="8" customFormat="1" ht="11.25"/>
    <row r="174" s="8" customFormat="1" ht="11.25"/>
    <row r="175" s="8" customFormat="1" ht="11.25"/>
    <row r="176" s="8" customFormat="1" ht="11.25"/>
    <row r="177" s="8" customFormat="1" ht="11.25"/>
    <row r="178" s="8" customFormat="1" ht="11.25"/>
    <row r="179" s="8" customFormat="1" ht="11.25"/>
    <row r="180" s="8" customFormat="1" ht="11.25"/>
    <row r="181" s="8" customFormat="1" ht="11.25"/>
    <row r="182" s="8" customFormat="1" ht="11.25"/>
    <row r="183" s="8" customFormat="1" ht="11.25"/>
    <row r="184" s="8" customFormat="1" ht="11.25"/>
    <row r="185" s="8" customFormat="1" ht="11.25"/>
    <row r="186" s="8" customFormat="1" ht="11.25"/>
    <row r="187" s="8" customFormat="1" ht="11.25"/>
    <row r="188" s="8" customFormat="1" ht="11.25"/>
    <row r="189" s="8" customFormat="1" ht="11.25"/>
    <row r="190" s="8" customFormat="1" ht="11.25"/>
    <row r="191" s="8" customFormat="1" ht="11.25"/>
    <row r="192" s="8" customFormat="1" ht="11.25"/>
    <row r="193" s="8" customFormat="1" ht="11.25"/>
    <row r="194" s="8" customFormat="1" ht="11.25"/>
    <row r="195" s="8" customFormat="1" ht="11.25"/>
    <row r="196" s="8" customFormat="1" ht="11.25"/>
    <row r="197" s="8" customFormat="1" ht="11.25"/>
    <row r="198" s="8" customFormat="1" ht="11.25"/>
    <row r="199" s="8" customFormat="1" ht="11.25"/>
    <row r="200" s="8" customFormat="1" ht="11.25"/>
    <row r="201" s="8" customFormat="1" ht="11.25"/>
    <row r="202" s="8" customFormat="1" ht="11.25"/>
    <row r="203" s="8" customFormat="1" ht="11.25"/>
    <row r="204" s="8" customFormat="1" ht="11.25"/>
    <row r="205" s="8" customFormat="1" ht="11.25"/>
    <row r="206" s="8" customFormat="1" ht="11.25"/>
    <row r="207" s="8" customFormat="1" ht="11.25"/>
    <row r="208" s="8" customFormat="1" ht="11.25"/>
    <row r="209" s="8" customFormat="1" ht="11.25"/>
    <row r="210" s="8" customFormat="1" ht="11.25"/>
    <row r="211" s="8" customFormat="1" ht="11.25"/>
    <row r="212" s="8" customFormat="1" ht="11.25"/>
    <row r="213" s="8" customFormat="1" ht="11.25"/>
    <row r="214" s="8" customFormat="1" ht="11.25"/>
    <row r="215" s="8" customFormat="1" ht="11.25"/>
    <row r="216" s="8" customFormat="1" ht="11.25"/>
    <row r="217" s="8" customFormat="1" ht="11.25"/>
    <row r="218" s="8" customFormat="1" ht="11.25"/>
    <row r="219" s="8" customFormat="1" ht="11.25"/>
    <row r="220" s="8" customFormat="1" ht="11.25"/>
    <row r="221" s="8" customFormat="1" ht="11.25"/>
    <row r="222" s="8" customFormat="1" ht="11.25"/>
    <row r="223" s="8" customFormat="1" ht="11.25"/>
    <row r="224" s="8" customFormat="1" ht="11.25"/>
    <row r="225" s="8" customFormat="1" ht="11.25"/>
    <row r="226" s="8" customFormat="1" ht="11.25"/>
    <row r="227" s="8" customFormat="1" ht="11.25"/>
    <row r="228" s="8" customFormat="1" ht="11.25"/>
    <row r="229" s="8" customFormat="1" ht="11.25"/>
    <row r="230" s="8" customFormat="1" ht="11.25"/>
    <row r="231" s="8" customFormat="1" ht="11.25"/>
    <row r="232" s="8" customFormat="1" ht="11.25"/>
    <row r="233" s="8" customFormat="1" ht="11.25"/>
    <row r="234" s="8" customFormat="1" ht="11.25"/>
    <row r="235" s="8" customFormat="1" ht="11.25"/>
    <row r="236" s="8" customFormat="1" ht="11.25"/>
    <row r="237" s="8" customFormat="1" ht="11.25"/>
    <row r="238" s="8" customFormat="1" ht="11.25"/>
    <row r="239" s="8" customFormat="1" ht="11.25"/>
    <row r="240" s="8" customFormat="1" ht="11.25"/>
    <row r="241" s="8" customFormat="1" ht="11.25"/>
    <row r="242" s="8" customFormat="1" ht="11.25"/>
    <row r="243" s="8" customFormat="1" ht="11.25"/>
    <row r="244" s="8" customFormat="1" ht="11.25"/>
    <row r="245" s="8" customFormat="1" ht="11.25"/>
    <row r="246" s="8" customFormat="1" ht="11.25"/>
    <row r="247" s="8" customFormat="1" ht="11.25"/>
    <row r="248" s="8" customFormat="1" ht="11.25"/>
    <row r="249" s="8" customFormat="1" ht="11.25"/>
    <row r="250" s="8" customFormat="1" ht="11.25"/>
    <row r="251" s="8" customFormat="1" ht="11.25"/>
    <row r="252" s="8" customFormat="1" ht="11.25"/>
    <row r="253" s="8" customFormat="1" ht="11.25"/>
    <row r="254" s="8" customFormat="1" ht="11.25"/>
    <row r="255" s="8" customFormat="1" ht="11.25"/>
    <row r="256" s="8" customFormat="1" ht="11.25"/>
    <row r="257" s="8" customFormat="1" ht="11.25"/>
    <row r="258" s="8" customFormat="1" ht="11.25"/>
    <row r="259" s="8" customFormat="1" ht="11.25"/>
    <row r="260" s="8" customFormat="1" ht="11.25"/>
    <row r="261" s="8" customFormat="1" ht="11.25"/>
    <row r="262" s="8" customFormat="1" ht="11.25"/>
    <row r="263" s="8" customFormat="1" ht="11.25"/>
    <row r="264" s="8" customFormat="1" ht="11.25"/>
    <row r="265" s="8" customFormat="1" ht="11.25"/>
    <row r="266" s="8" customFormat="1" ht="11.25"/>
    <row r="267" s="8" customFormat="1" ht="11.25"/>
    <row r="268" s="8" customFormat="1" ht="11.25"/>
    <row r="269" s="8" customFormat="1" ht="11.25"/>
    <row r="270" s="8" customFormat="1" ht="11.25"/>
    <row r="271" s="8" customFormat="1" ht="11.25"/>
    <row r="272" s="8" customFormat="1" ht="11.25"/>
    <row r="273" s="8" customFormat="1" ht="11.25"/>
    <row r="274" s="8" customFormat="1" ht="11.25"/>
    <row r="275" s="8" customFormat="1" ht="11.25"/>
    <row r="276" s="8" customFormat="1" ht="11.25"/>
    <row r="277" s="8" customFormat="1" ht="11.25"/>
    <row r="278" s="8" customFormat="1" ht="11.25"/>
    <row r="279" s="8" customFormat="1" ht="11.25"/>
    <row r="280" s="8" customFormat="1" ht="11.25"/>
    <row r="281" s="8" customFormat="1" ht="11.25"/>
    <row r="282" s="8" customFormat="1" ht="11.25"/>
    <row r="283" s="8" customFormat="1" ht="11.25"/>
    <row r="284" s="8" customFormat="1" ht="11.25"/>
    <row r="285" s="8" customFormat="1" ht="11.25"/>
    <row r="286" s="8" customFormat="1" ht="11.25"/>
    <row r="287" s="8" customFormat="1" ht="11.25"/>
  </sheetData>
  <sheetProtection password="D01C" sheet="1" objects="1"/>
  <mergeCells count="13">
    <mergeCell ref="A1:O1"/>
    <mergeCell ref="J2:L2"/>
    <mergeCell ref="N2:O2"/>
    <mergeCell ref="A2:A3"/>
    <mergeCell ref="B2:B3"/>
    <mergeCell ref="C2:C3"/>
    <mergeCell ref="D2:D3"/>
    <mergeCell ref="E2:E3"/>
    <mergeCell ref="F2:F3"/>
    <mergeCell ref="G2:G3"/>
    <mergeCell ref="H2:H3"/>
    <mergeCell ref="I2:I3"/>
    <mergeCell ref="M2:M3"/>
  </mergeCells>
  <pageMargins left="0.75" right="0.75" top="1" bottom="1" header="0.5" footer="0.5"/>
  <pageSetup paperSize="9" orientation="landscape"/>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workbookViewId="0">
      <selection activeCell="F23" sqref="F23"/>
    </sheetView>
  </sheetViews>
  <sheetFormatPr defaultColWidth="9" defaultRowHeight="14.25" outlineLevelRow="7" outlineLevelCol="4"/>
  <cols>
    <col min="1" max="1" width="18.625" customWidth="1"/>
    <col min="2" max="2" width="16" customWidth="1"/>
    <col min="3" max="3" width="21.5" customWidth="1"/>
    <col min="4" max="4" width="13.75" customWidth="1"/>
    <col min="5" max="5" width="19" customWidth="1"/>
    <col min="6" max="6" width="20.375" customWidth="1"/>
    <col min="7" max="7" width="9.375" customWidth="1"/>
    <col min="8" max="8" width="9.125" customWidth="1"/>
    <col min="9" max="11" width="11.5" customWidth="1"/>
    <col min="12" max="12" width="9.375" customWidth="1"/>
    <col min="13" max="13" width="9.125" customWidth="1"/>
    <col min="14" max="14" width="13.5" customWidth="1"/>
    <col min="15" max="16" width="16.875" customWidth="1"/>
    <col min="17" max="18" width="9.375" customWidth="1"/>
    <col min="19" max="19" width="11.5" customWidth="1"/>
    <col min="20" max="22" width="9.375" customWidth="1"/>
    <col min="23" max="23" width="11.25" customWidth="1"/>
    <col min="24" max="24" width="12.75" customWidth="1"/>
    <col min="25" max="25" width="9.125" customWidth="1"/>
    <col min="26" max="26" width="18.25" customWidth="1"/>
  </cols>
  <sheetData>
    <row r="1" spans="1:5">
      <c r="A1" s="3" t="s">
        <v>330</v>
      </c>
      <c r="B1" s="4" t="s">
        <v>331</v>
      </c>
      <c r="C1" s="3" t="s">
        <v>332</v>
      </c>
      <c r="D1" s="4" t="s">
        <v>333</v>
      </c>
      <c r="E1" s="3" t="s">
        <v>334</v>
      </c>
    </row>
    <row r="2" spans="1:5">
      <c r="A2" s="3" t="s">
        <v>335</v>
      </c>
      <c r="B2" s="4" t="s">
        <v>336</v>
      </c>
      <c r="C2" s="3" t="s">
        <v>337</v>
      </c>
      <c r="D2" s="4" t="s">
        <v>338</v>
      </c>
      <c r="E2" s="3" t="s">
        <v>339</v>
      </c>
    </row>
    <row r="3" spans="1:5">
      <c r="A3" s="3" t="s">
        <v>340</v>
      </c>
      <c r="C3" s="3" t="s">
        <v>341</v>
      </c>
      <c r="D3" s="4" t="s">
        <v>342</v>
      </c>
      <c r="E3" s="3" t="s">
        <v>343</v>
      </c>
    </row>
    <row r="4" spans="3:5">
      <c r="C4" s="3" t="s">
        <v>344</v>
      </c>
      <c r="D4" s="4" t="s">
        <v>345</v>
      </c>
      <c r="E4" s="3" t="s">
        <v>346</v>
      </c>
    </row>
    <row r="5" spans="3:5">
      <c r="C5" s="3" t="s">
        <v>336</v>
      </c>
      <c r="D5" s="4" t="s">
        <v>347</v>
      </c>
      <c r="E5" s="3" t="s">
        <v>348</v>
      </c>
    </row>
    <row r="6" spans="3:5">
      <c r="C6" s="3" t="s">
        <v>349</v>
      </c>
      <c r="E6" s="3" t="s">
        <v>350</v>
      </c>
    </row>
    <row r="7" spans="3:5">
      <c r="C7" s="3" t="s">
        <v>351</v>
      </c>
      <c r="E7" s="3" t="s">
        <v>352</v>
      </c>
    </row>
    <row r="8" spans="3:5">
      <c r="C8" s="3" t="s">
        <v>353</v>
      </c>
      <c r="E8" s="3" t="s">
        <v>354</v>
      </c>
    </row>
  </sheetData>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0"/>
  <sheetViews>
    <sheetView workbookViewId="0">
      <selection activeCell="L21" sqref="L21"/>
    </sheetView>
  </sheetViews>
  <sheetFormatPr defaultColWidth="9" defaultRowHeight="14.25"/>
  <cols>
    <col min="1" max="1" width="22.25" customWidth="1"/>
    <col min="2" max="2" width="28.625" customWidth="1"/>
    <col min="3" max="3" width="28.25" customWidth="1"/>
    <col min="4" max="4" width="14.75" customWidth="1"/>
    <col min="5" max="6" width="21.75" customWidth="1"/>
    <col min="7" max="7" width="28.875" customWidth="1"/>
    <col min="8" max="8" width="25.625" customWidth="1"/>
    <col min="9" max="9" width="25" customWidth="1"/>
    <col min="10" max="10" width="22.25" customWidth="1"/>
    <col min="11" max="11" width="18.875" customWidth="1"/>
    <col min="12" max="12" width="22.625" customWidth="1"/>
    <col min="13" max="15" width="14.75" customWidth="1"/>
    <col min="16" max="16" width="16.625" customWidth="1"/>
    <col min="17" max="17" width="19.75" customWidth="1"/>
  </cols>
  <sheetData>
    <row r="1" ht="25" customHeight="1" spans="1:17">
      <c r="A1" s="1" t="s">
        <v>355</v>
      </c>
      <c r="B1" s="2" t="s">
        <v>356</v>
      </c>
      <c r="C1" s="3" t="s">
        <v>357</v>
      </c>
      <c r="D1" s="4" t="s">
        <v>358</v>
      </c>
      <c r="E1" s="3" t="s">
        <v>144</v>
      </c>
      <c r="F1" s="3" t="s">
        <v>359</v>
      </c>
      <c r="G1" s="3" t="s">
        <v>360</v>
      </c>
      <c r="H1" s="3" t="s">
        <v>337</v>
      </c>
      <c r="I1" s="3" t="s">
        <v>341</v>
      </c>
      <c r="J1" s="3" t="s">
        <v>361</v>
      </c>
      <c r="K1" s="3" t="s">
        <v>344</v>
      </c>
      <c r="L1" s="3" t="s">
        <v>349</v>
      </c>
      <c r="M1" s="3" t="s">
        <v>362</v>
      </c>
      <c r="N1" s="3" t="s">
        <v>336</v>
      </c>
      <c r="O1" s="2" t="s">
        <v>363</v>
      </c>
      <c r="P1" s="7" t="s">
        <v>364</v>
      </c>
      <c r="Q1" s="2" t="s">
        <v>353</v>
      </c>
    </row>
    <row r="2" spans="1:17">
      <c r="A2" s="5" t="s">
        <v>365</v>
      </c>
      <c r="B2" s="6" t="s">
        <v>366</v>
      </c>
      <c r="C2" s="3" t="s">
        <v>135</v>
      </c>
      <c r="D2" s="4" t="s">
        <v>159</v>
      </c>
      <c r="E2" s="3" t="s">
        <v>367</v>
      </c>
      <c r="F2" s="4" t="s">
        <v>338</v>
      </c>
      <c r="G2" s="4" t="s">
        <v>368</v>
      </c>
      <c r="H2" s="3" t="s">
        <v>369</v>
      </c>
      <c r="I2" s="3" t="s">
        <v>370</v>
      </c>
      <c r="J2" s="4" t="s">
        <v>371</v>
      </c>
      <c r="K2" s="3" t="s">
        <v>372</v>
      </c>
      <c r="L2" s="3" t="s">
        <v>373</v>
      </c>
      <c r="M2" s="3" t="s">
        <v>374</v>
      </c>
      <c r="N2" s="4" t="s">
        <v>336</v>
      </c>
      <c r="O2" s="2" t="s">
        <v>375</v>
      </c>
      <c r="P2" s="2" t="s">
        <v>376</v>
      </c>
      <c r="Q2" s="7" t="s">
        <v>377</v>
      </c>
    </row>
    <row r="3" spans="1:16">
      <c r="A3" s="5" t="s">
        <v>378</v>
      </c>
      <c r="B3" s="6" t="s">
        <v>379</v>
      </c>
      <c r="C3" s="3" t="s">
        <v>136</v>
      </c>
      <c r="D3" s="4" t="s">
        <v>160</v>
      </c>
      <c r="E3" s="3" t="s">
        <v>380</v>
      </c>
      <c r="F3" s="4" t="s">
        <v>342</v>
      </c>
      <c r="G3" s="4" t="s">
        <v>338</v>
      </c>
      <c r="H3" s="3" t="s">
        <v>381</v>
      </c>
      <c r="I3" s="3" t="s">
        <v>382</v>
      </c>
      <c r="J3" s="4" t="s">
        <v>383</v>
      </c>
      <c r="K3" s="3" t="s">
        <v>384</v>
      </c>
      <c r="L3" s="3" t="s">
        <v>385</v>
      </c>
      <c r="O3" s="2" t="s">
        <v>340</v>
      </c>
      <c r="P3" s="2" t="s">
        <v>386</v>
      </c>
    </row>
    <row r="4" spans="1:16">
      <c r="A4" s="5" t="s">
        <v>387</v>
      </c>
      <c r="B4" s="6" t="s">
        <v>117</v>
      </c>
      <c r="C4" s="3" t="s">
        <v>137</v>
      </c>
      <c r="D4" s="4" t="s">
        <v>161</v>
      </c>
      <c r="E4" s="3" t="s">
        <v>388</v>
      </c>
      <c r="F4" s="4" t="s">
        <v>345</v>
      </c>
      <c r="G4" s="4" t="s">
        <v>342</v>
      </c>
      <c r="H4" s="3" t="s">
        <v>389</v>
      </c>
      <c r="I4" s="3" t="s">
        <v>390</v>
      </c>
      <c r="J4" s="4"/>
      <c r="K4" s="3" t="s">
        <v>391</v>
      </c>
      <c r="L4" s="3"/>
      <c r="O4" s="2" t="s">
        <v>392</v>
      </c>
      <c r="P4" s="2"/>
    </row>
    <row r="5" spans="1:11">
      <c r="A5" s="5" t="s">
        <v>96</v>
      </c>
      <c r="B5" s="6" t="s">
        <v>118</v>
      </c>
      <c r="C5" s="3" t="s">
        <v>138</v>
      </c>
      <c r="D5" s="4" t="s">
        <v>162</v>
      </c>
      <c r="E5" s="3" t="s">
        <v>393</v>
      </c>
      <c r="F5" s="4" t="s">
        <v>394</v>
      </c>
      <c r="G5" s="4" t="s">
        <v>345</v>
      </c>
      <c r="H5" s="3" t="s">
        <v>395</v>
      </c>
      <c r="I5" s="3" t="s">
        <v>396</v>
      </c>
      <c r="K5" s="3" t="s">
        <v>397</v>
      </c>
    </row>
    <row r="6" spans="1:11">
      <c r="A6" s="5" t="s">
        <v>97</v>
      </c>
      <c r="B6" s="6" t="s">
        <v>119</v>
      </c>
      <c r="C6" s="3" t="s">
        <v>139</v>
      </c>
      <c r="E6" s="3" t="s">
        <v>398</v>
      </c>
      <c r="F6" s="4" t="s">
        <v>347</v>
      </c>
      <c r="G6" s="4" t="s">
        <v>394</v>
      </c>
      <c r="H6" s="3" t="s">
        <v>399</v>
      </c>
      <c r="K6" s="3" t="s">
        <v>400</v>
      </c>
    </row>
    <row r="7" spans="1:11">
      <c r="A7" s="5" t="s">
        <v>98</v>
      </c>
      <c r="B7" s="6" t="s">
        <v>120</v>
      </c>
      <c r="C7" s="3"/>
      <c r="G7" s="4" t="s">
        <v>347</v>
      </c>
      <c r="H7" s="3" t="s">
        <v>401</v>
      </c>
      <c r="K7" s="3" t="s">
        <v>402</v>
      </c>
    </row>
    <row r="8" spans="1:11">
      <c r="A8" s="5" t="s">
        <v>99</v>
      </c>
      <c r="B8" s="6" t="s">
        <v>121</v>
      </c>
      <c r="H8" s="3" t="s">
        <v>403</v>
      </c>
      <c r="K8" s="3" t="s">
        <v>404</v>
      </c>
    </row>
    <row r="9" spans="1:11">
      <c r="A9" s="5" t="s">
        <v>100</v>
      </c>
      <c r="B9" s="6" t="s">
        <v>122</v>
      </c>
      <c r="K9" s="3"/>
    </row>
    <row r="10" spans="2:2">
      <c r="B10" s="6" t="s">
        <v>123</v>
      </c>
    </row>
  </sheetData>
  <pageMargins left="0.75" right="0.75" top="1" bottom="1" header="0.5" footer="0.5"/>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Company>www.ftpdown.com</Company>
  <Application>Microsoft Excel</Application>
  <HeadingPairs>
    <vt:vector size="2" baseType="variant">
      <vt:variant>
        <vt:lpstr>工作表</vt:lpstr>
      </vt:variant>
      <vt:variant>
        <vt:i4>4</vt:i4>
      </vt:variant>
    </vt:vector>
  </HeadingPairs>
  <TitlesOfParts>
    <vt:vector size="4" baseType="lpstr">
      <vt:lpstr>量化赋分表</vt:lpstr>
      <vt:lpstr>汇总表</vt:lpstr>
      <vt:lpstr>数据引用表</vt:lpstr>
      <vt:lpstr>其他参数</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FtpDown</dc:creator>
  <cp:lastModifiedBy>…点辐射…</cp:lastModifiedBy>
  <dcterms:created xsi:type="dcterms:W3CDTF">2011-03-12T05:04:00Z</dcterms:created>
  <cp:lastPrinted>2022-11-17T07:18:00Z</cp:lastPrinted>
  <dcterms:modified xsi:type="dcterms:W3CDTF">2023-12-04T07:27:22Z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37C7842F16764739B6D0DC3F67CBE84F_13</vt:lpwstr>
  </property>
  <property fmtid="{D5CDD505-2E9C-101B-9397-08002B2CF9AE}" pid="3" name="KSOProductBuildVer">
    <vt:lpwstr>2052-12.1.0.15712</vt:lpwstr>
  </property>
</Properties>
</file>