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workbookProtection workbookPassword="D01C" lockStructure="1"/>
  <bookViews>
    <workbookView windowWidth="27945" windowHeight="12375"/>
  </bookViews>
  <sheets>
    <sheet name="量化赋分表" sheetId="4" r:id="rId1"/>
    <sheet name="汇总表" sheetId="5" r:id="rId2"/>
    <sheet name="数据引用表" sheetId="15" state="hidden" r:id="rId3"/>
    <sheet name="其他参数" sheetId="14" state="hidden" r:id="rId4"/>
  </sheets>
  <definedNames>
    <definedName name="_xlnm.Print_Area" localSheetId="0">量化赋分表!$B$6:$O$181</definedName>
    <definedName name="本人">数据引用表!#REF!</definedName>
    <definedName name="二等奖">数据引用表!#REF!</definedName>
    <definedName name="辅导员名师">数据引用表!#REF!</definedName>
    <definedName name="骨干教师">数据引用表!#REF!</definedName>
    <definedName name="技能大师">数据引用表!#REF!</definedName>
    <definedName name="教材建设奖">数据引用表!#REF!</definedName>
    <definedName name="教师教学创新团队">数据引用表!#REF!</definedName>
    <definedName name="教学名师">数据引用表!#REF!</definedName>
    <definedName name="精品教材">数据引用表!#REF!</definedName>
    <definedName name="精品课程">数据引用表!#REF!</definedName>
    <definedName name="精品课程建设">数据引用表!#REF!</definedName>
    <definedName name="竞赛、比赛、大赛">数据引用表!#REF!</definedName>
    <definedName name="竞赛比赛">数据引用表!#REF!</definedName>
    <definedName name="科研创新团队">数据引用表!#REF!</definedName>
    <definedName name="科研骨干">数据引用表!#REF!</definedName>
    <definedName name="课程建设">其他参数!$I$2:$I$5</definedName>
    <definedName name="品牌专业">数据引用表!#REF!</definedName>
    <definedName name="其他">数据引用表!#REF!</definedName>
    <definedName name="青年教师">数据引用表!#REF!</definedName>
    <definedName name="人才培养方案制定">数据引用表!#REF!</definedName>
    <definedName name="三等奖">数据引用表!#REF!</definedName>
    <definedName name="示范专业">数据引用表!#REF!</definedName>
    <definedName name="书证融通">数据引用表!#REF!</definedName>
    <definedName name="双高专业群">数据引用表!#REF!</definedName>
    <definedName name="团队建设">其他参数!$J$2:$J$3</definedName>
    <definedName name="学生技能大赛">数据引用表!#REF!</definedName>
    <definedName name="学术带头人">数据引用表!#REF!</definedName>
    <definedName name="一等奖">数据引用表!#REF!</definedName>
    <definedName name="优秀教师">数据引用表!#REF!</definedName>
    <definedName name="优秀教学团队">数据引用表!#REF!</definedName>
    <definedName name="优秀青年教师">数据引用表!#REF!</definedName>
    <definedName name="证书1十X">数据引用表!#REF!</definedName>
    <definedName name="周期建设项目">数据引用表!#REF!</definedName>
    <definedName name="专业带头人">数据引用表!#REF!</definedName>
    <definedName name="专业建设">其他参数!$H$2:$H$8</definedName>
    <definedName name="资源库建设">数据引用表!#REF!</definedName>
    <definedName name="学术论文或文章发表">其他参数!$A$2:$A$9</definedName>
    <definedName name="著作、教材及教学_实验_标准">其他参数!$B$2:$B$10</definedName>
    <definedName name="个人荣誉">其他参数!$K$2:$K$8</definedName>
    <definedName name="团体荣誉">其他参数!$L$2:$L$3</definedName>
    <definedName name="产教融合项目">其他参数!$N$2</definedName>
    <definedName name="文化建设项目">其他参数!$M$2</definedName>
    <definedName name="其他建设项目">其他参数!$O$2:$O$4</definedName>
    <definedName name="工作项目荣誉">其他参数!$P$2:$P$3</definedName>
    <definedName name="服务专业领域">数据引用表!$D$2:$D$5</definedName>
    <definedName name="服务行业企业">数据引用表!$E$2:$E$8</definedName>
    <definedName name="项目设计能力">数据引用表!$A$2:$A$3</definedName>
    <definedName name="产教融合能力">数据引用表!$B$2</definedName>
    <definedName name="品牌_示范_专业">其他参数!$H$3:$H$8</definedName>
    <definedName name="素质教育类社团指导">其他参数!$Q$2</definedName>
  </definedNames>
  <calcPr calcId="144525"/>
</workbook>
</file>

<file path=xl/comments1.xml><?xml version="1.0" encoding="utf-8"?>
<comments xmlns="http://schemas.openxmlformats.org/spreadsheetml/2006/main">
  <authors>
    <author>作者</author>
    <author>admin</author>
    <author>FtpDown</author>
    <author>Lenovo User</author>
    <author>Admin</author>
  </authors>
  <commentList>
    <comment ref="F25" authorId="0">
      <text>
        <r>
          <rPr>
            <b/>
            <sz val="9"/>
            <rFont val="宋体"/>
            <charset val="134"/>
          </rPr>
          <t>作者:</t>
        </r>
        <r>
          <rPr>
            <sz val="9"/>
            <rFont val="宋体"/>
            <charset val="134"/>
          </rPr>
          <t xml:space="preserve">
请在下拉列表中选择填写内容！</t>
        </r>
      </text>
    </comment>
    <comment ref="J25" authorId="1">
      <text>
        <r>
          <rPr>
            <b/>
            <sz val="9"/>
            <rFont val="宋体"/>
            <charset val="134"/>
          </rPr>
          <t>admin:</t>
        </r>
        <r>
          <rPr>
            <sz val="9"/>
            <rFont val="宋体"/>
            <charset val="134"/>
          </rPr>
          <t xml:space="preserve">
请规范填写时间！格式为“1999年10月1日”
</t>
        </r>
      </text>
    </comment>
    <comment ref="D26" authorId="1">
      <text>
        <r>
          <rPr>
            <b/>
            <sz val="9"/>
            <rFont val="宋体"/>
            <charset val="134"/>
          </rPr>
          <t>admin:</t>
        </r>
        <r>
          <rPr>
            <sz val="9"/>
            <rFont val="宋体"/>
            <charset val="134"/>
          </rPr>
          <t xml:space="preserve">
请在下拉列表中选择填写内容！
</t>
        </r>
      </text>
    </comment>
    <comment ref="D27" authorId="1">
      <text>
        <r>
          <rPr>
            <b/>
            <sz val="9"/>
            <rFont val="宋体"/>
            <charset val="134"/>
          </rPr>
          <t>admin:</t>
        </r>
        <r>
          <rPr>
            <sz val="9"/>
            <rFont val="宋体"/>
            <charset val="134"/>
          </rPr>
          <t xml:space="preserve">
请规范填写时间！格式为“1999年10月”</t>
        </r>
      </text>
    </comment>
    <comment ref="I28" authorId="1">
      <text>
        <r>
          <rPr>
            <b/>
            <sz val="9"/>
            <rFont val="宋体"/>
            <charset val="134"/>
          </rPr>
          <t>admin:</t>
        </r>
        <r>
          <rPr>
            <sz val="9"/>
            <rFont val="宋体"/>
            <charset val="134"/>
          </rPr>
          <t xml:space="preserve">
作者:
1、请规范填写时间！格式为“1999年10月”
</t>
        </r>
      </text>
    </comment>
    <comment ref="C32" authorId="1">
      <text>
        <r>
          <rPr>
            <b/>
            <sz val="9"/>
            <rFont val="宋体"/>
            <charset val="134"/>
          </rPr>
          <t>admin:</t>
        </r>
        <r>
          <rPr>
            <sz val="9"/>
            <rFont val="宋体"/>
            <charset val="134"/>
          </rPr>
          <t xml:space="preserve">
填写班级全程，如：
2019级学前教育1班</t>
        </r>
      </text>
    </comment>
    <comment ref="H32" authorId="1">
      <text>
        <r>
          <rPr>
            <b/>
            <sz val="9"/>
            <rFont val="宋体"/>
            <charset val="134"/>
          </rPr>
          <t>admin:</t>
        </r>
        <r>
          <rPr>
            <sz val="9"/>
            <rFont val="宋体"/>
            <charset val="134"/>
          </rPr>
          <t xml:space="preserve">
填写格式例：
2012年09-2014年8月。</t>
        </r>
      </text>
    </comment>
    <comment ref="H33" authorId="1">
      <text>
        <r>
          <rPr>
            <b/>
            <sz val="9"/>
            <rFont val="宋体"/>
            <charset val="134"/>
          </rPr>
          <t>admin:</t>
        </r>
        <r>
          <rPr>
            <sz val="9"/>
            <rFont val="宋体"/>
            <charset val="134"/>
          </rPr>
          <t xml:space="preserve">
填写格式例：
2012年09-2014年8月。</t>
        </r>
      </text>
    </comment>
    <comment ref="C35" authorId="1">
      <text>
        <r>
          <rPr>
            <b/>
            <sz val="9"/>
            <rFont val="宋体"/>
            <charset val="134"/>
          </rPr>
          <t>admin:</t>
        </r>
        <r>
          <rPr>
            <sz val="9"/>
            <rFont val="宋体"/>
            <charset val="134"/>
          </rPr>
          <t xml:space="preserve">
请在下拉列表中选择填写内容！</t>
        </r>
      </text>
    </comment>
    <comment ref="C47" authorId="1">
      <text>
        <r>
          <rPr>
            <b/>
            <sz val="9"/>
            <rFont val="宋体"/>
            <charset val="134"/>
          </rPr>
          <t>admin:</t>
        </r>
        <r>
          <rPr>
            <sz val="9"/>
            <rFont val="宋体"/>
            <charset val="134"/>
          </rPr>
          <t xml:space="preserve">
请在下拉列表中选择填写内容！
</t>
        </r>
      </text>
    </comment>
    <comment ref="E47" authorId="1">
      <text>
        <r>
          <rPr>
            <b/>
            <sz val="9"/>
            <rFont val="宋体"/>
            <charset val="134"/>
          </rPr>
          <t>admin:</t>
        </r>
        <r>
          <rPr>
            <sz val="9"/>
            <rFont val="宋体"/>
            <charset val="134"/>
          </rPr>
          <t xml:space="preserve">
填写格式例：
2012年09月1日-2014年9月6日。
</t>
        </r>
      </text>
    </comment>
    <comment ref="J47" authorId="1">
      <text>
        <r>
          <rPr>
            <b/>
            <sz val="9"/>
            <rFont val="宋体"/>
            <charset val="134"/>
          </rPr>
          <t>admin:</t>
        </r>
        <r>
          <rPr>
            <sz val="9"/>
            <rFont val="宋体"/>
            <charset val="134"/>
          </rPr>
          <t xml:space="preserve">
线上培训地点为“线上及学习平台”；线下培训写明培训城市或培训院校（单位)</t>
        </r>
      </text>
    </comment>
    <comment ref="C59" authorId="1">
      <text>
        <r>
          <rPr>
            <b/>
            <sz val="9"/>
            <rFont val="宋体"/>
            <charset val="134"/>
          </rPr>
          <t>admin:</t>
        </r>
        <r>
          <rPr>
            <sz val="9"/>
            <rFont val="宋体"/>
            <charset val="134"/>
          </rPr>
          <t xml:space="preserve">
填写格式例：
2012年09月
</t>
        </r>
      </text>
    </comment>
    <comment ref="B72" authorId="0">
      <text>
        <r>
          <rPr>
            <b/>
            <sz val="9"/>
            <rFont val="宋体"/>
            <charset val="134"/>
          </rPr>
          <t>作者:</t>
        </r>
        <r>
          <rPr>
            <sz val="9"/>
            <rFont val="宋体"/>
            <charset val="134"/>
          </rPr>
          <t xml:space="preserve">
请在下拉列表中选择填写内容！</t>
        </r>
      </text>
    </comment>
    <comment ref="F72" authorId="2">
      <text>
        <r>
          <rPr>
            <b/>
            <sz val="9"/>
            <rFont val="宋体"/>
            <charset val="134"/>
          </rPr>
          <t xml:space="preserve">作者:
</t>
        </r>
        <r>
          <rPr>
            <sz val="9"/>
            <rFont val="宋体"/>
            <charset val="134"/>
          </rPr>
          <t>请不要加书名号！</t>
        </r>
      </text>
    </comment>
    <comment ref="H72" authorId="0">
      <text>
        <r>
          <rPr>
            <b/>
            <sz val="9"/>
            <rFont val="宋体"/>
            <charset val="134"/>
          </rPr>
          <t>作者:</t>
        </r>
        <r>
          <rPr>
            <sz val="9"/>
            <rFont val="宋体"/>
            <charset val="134"/>
          </rPr>
          <t xml:space="preserve">
因</t>
        </r>
        <r>
          <rPr>
            <b/>
            <sz val="9"/>
            <color indexed="10"/>
            <rFont val="宋体"/>
            <charset val="134"/>
          </rPr>
          <t>学历学位进修</t>
        </r>
        <r>
          <rPr>
            <sz val="9"/>
            <rFont val="宋体"/>
            <charset val="134"/>
          </rPr>
          <t>原因未署大连职业技术学院或大连开放大学发表的论文选择“否”，在期刊上发表</t>
        </r>
        <r>
          <rPr>
            <b/>
            <sz val="9"/>
            <color indexed="10"/>
            <rFont val="宋体"/>
            <charset val="134"/>
          </rPr>
          <t>图片作品</t>
        </r>
        <r>
          <rPr>
            <sz val="9"/>
            <rFont val="宋体"/>
            <charset val="134"/>
          </rPr>
          <t xml:space="preserve">的也选择“否”，其他情况选择“是”。
</t>
        </r>
        <r>
          <rPr>
            <b/>
            <sz val="9"/>
            <rFont val="宋体"/>
            <charset val="134"/>
          </rPr>
          <t xml:space="preserve">此项为必选项，否则无法计分
</t>
        </r>
      </text>
    </comment>
    <comment ref="I72" authorId="3">
      <text>
        <r>
          <rPr>
            <b/>
            <sz val="9"/>
            <rFont val="宋体"/>
            <charset val="134"/>
          </rPr>
          <t xml:space="preserve">作者:
</t>
        </r>
        <r>
          <rPr>
            <sz val="9"/>
            <rFont val="宋体"/>
            <charset val="134"/>
          </rPr>
          <t>请在下拉列表中选择填写内容！</t>
        </r>
      </text>
    </comment>
    <comment ref="J72" authorId="2">
      <text>
        <r>
          <rPr>
            <b/>
            <sz val="9"/>
            <rFont val="宋体"/>
            <charset val="134"/>
          </rPr>
          <t>作者:
直接填写数字！</t>
        </r>
        <r>
          <rPr>
            <sz val="9"/>
            <rFont val="宋体"/>
            <charset val="134"/>
          </rPr>
          <t>属“独立完成”不填写本栏目。</t>
        </r>
      </text>
    </comment>
    <comment ref="K72" authorId="0">
      <text>
        <r>
          <rPr>
            <b/>
            <sz val="9"/>
            <rFont val="宋体"/>
            <charset val="134"/>
          </rPr>
          <t>作者:
直接填写数字！</t>
        </r>
        <r>
          <rPr>
            <sz val="9"/>
            <rFont val="宋体"/>
            <charset val="134"/>
          </rPr>
          <t>属“独立完成”不填写本栏目。</t>
        </r>
      </text>
    </comment>
    <comment ref="B73" authorId="0">
      <text>
        <r>
          <rPr>
            <b/>
            <sz val="9"/>
            <rFont val="宋体"/>
            <charset val="134"/>
          </rPr>
          <t>作者:</t>
        </r>
        <r>
          <rPr>
            <sz val="9"/>
            <rFont val="宋体"/>
            <charset val="134"/>
          </rPr>
          <t xml:space="preserve">
请在下拉列表中选择填写内容！</t>
        </r>
      </text>
    </comment>
    <comment ref="F73" authorId="2">
      <text>
        <r>
          <rPr>
            <b/>
            <sz val="9"/>
            <rFont val="宋体"/>
            <charset val="134"/>
          </rPr>
          <t xml:space="preserve">作者:
</t>
        </r>
        <r>
          <rPr>
            <sz val="9"/>
            <rFont val="宋体"/>
            <charset val="134"/>
          </rPr>
          <t>请不要加书名号！</t>
        </r>
      </text>
    </comment>
    <comment ref="H73" authorId="0">
      <text>
        <r>
          <rPr>
            <b/>
            <sz val="9"/>
            <rFont val="宋体"/>
            <charset val="134"/>
          </rPr>
          <t>作者:</t>
        </r>
        <r>
          <rPr>
            <sz val="9"/>
            <rFont val="宋体"/>
            <charset val="134"/>
          </rPr>
          <t xml:space="preserve">
因</t>
        </r>
        <r>
          <rPr>
            <b/>
            <sz val="9"/>
            <color indexed="10"/>
            <rFont val="宋体"/>
            <charset val="134"/>
          </rPr>
          <t>学历学位进修</t>
        </r>
        <r>
          <rPr>
            <sz val="9"/>
            <rFont val="宋体"/>
            <charset val="134"/>
          </rPr>
          <t>原因未署大连职业技术学院或大连开放大学发表的论文选择“否”，在期刊上发表</t>
        </r>
        <r>
          <rPr>
            <b/>
            <sz val="9"/>
            <color indexed="10"/>
            <rFont val="宋体"/>
            <charset val="134"/>
          </rPr>
          <t>图片作品</t>
        </r>
        <r>
          <rPr>
            <sz val="9"/>
            <rFont val="宋体"/>
            <charset val="134"/>
          </rPr>
          <t xml:space="preserve">的也选择“否”，其他情况选择“是”。
</t>
        </r>
        <r>
          <rPr>
            <b/>
            <sz val="9"/>
            <rFont val="宋体"/>
            <charset val="134"/>
          </rPr>
          <t xml:space="preserve">此项为必选项，否则无法计分
</t>
        </r>
      </text>
    </comment>
    <comment ref="I73" authorId="3">
      <text>
        <r>
          <rPr>
            <b/>
            <sz val="9"/>
            <rFont val="宋体"/>
            <charset val="134"/>
          </rPr>
          <t xml:space="preserve">作者:
</t>
        </r>
        <r>
          <rPr>
            <sz val="9"/>
            <rFont val="宋体"/>
            <charset val="134"/>
          </rPr>
          <t>请在下拉列表中选择填写内容！</t>
        </r>
      </text>
    </comment>
    <comment ref="J73" authorId="2">
      <text>
        <r>
          <rPr>
            <b/>
            <sz val="9"/>
            <rFont val="宋体"/>
            <charset val="134"/>
          </rPr>
          <t>作者:
直接填写数字！</t>
        </r>
        <r>
          <rPr>
            <sz val="9"/>
            <rFont val="宋体"/>
            <charset val="134"/>
          </rPr>
          <t>属“独立完成”不填写本栏目。</t>
        </r>
      </text>
    </comment>
    <comment ref="K73" authorId="0">
      <text>
        <r>
          <rPr>
            <b/>
            <sz val="9"/>
            <rFont val="宋体"/>
            <charset val="134"/>
          </rPr>
          <t>作者:
直接填写数字！</t>
        </r>
        <r>
          <rPr>
            <sz val="9"/>
            <rFont val="宋体"/>
            <charset val="134"/>
          </rPr>
          <t>属“独立完成”不填写本栏目。</t>
        </r>
      </text>
    </comment>
    <comment ref="B75" authorId="0">
      <text>
        <r>
          <rPr>
            <b/>
            <sz val="9"/>
            <rFont val="宋体"/>
            <charset val="134"/>
          </rPr>
          <t>作者:</t>
        </r>
        <r>
          <rPr>
            <sz val="9"/>
            <rFont val="宋体"/>
            <charset val="134"/>
          </rPr>
          <t xml:space="preserve">
请在下拉列表中选择填写内容！</t>
        </r>
      </text>
    </comment>
    <comment ref="F75" authorId="2">
      <text>
        <r>
          <rPr>
            <b/>
            <sz val="9"/>
            <rFont val="宋体"/>
            <charset val="134"/>
          </rPr>
          <t xml:space="preserve">作者:
</t>
        </r>
        <r>
          <rPr>
            <sz val="9"/>
            <rFont val="宋体"/>
            <charset val="134"/>
          </rPr>
          <t>请不要加书名号！</t>
        </r>
      </text>
    </comment>
    <comment ref="H75" authorId="0">
      <text>
        <r>
          <rPr>
            <b/>
            <sz val="9"/>
            <rFont val="宋体"/>
            <charset val="134"/>
          </rPr>
          <t>作者:</t>
        </r>
        <r>
          <rPr>
            <sz val="9"/>
            <rFont val="宋体"/>
            <charset val="134"/>
          </rPr>
          <t xml:space="preserve">
因</t>
        </r>
        <r>
          <rPr>
            <b/>
            <sz val="9"/>
            <color indexed="10"/>
            <rFont val="宋体"/>
            <charset val="134"/>
          </rPr>
          <t>学历学位进修</t>
        </r>
        <r>
          <rPr>
            <sz val="9"/>
            <rFont val="宋体"/>
            <charset val="134"/>
          </rPr>
          <t>原因未署大连职业技术学院或大连开放大学发表的论文选择“否”，在期刊上发表</t>
        </r>
        <r>
          <rPr>
            <b/>
            <sz val="9"/>
            <color indexed="10"/>
            <rFont val="宋体"/>
            <charset val="134"/>
          </rPr>
          <t>图片作品</t>
        </r>
        <r>
          <rPr>
            <sz val="9"/>
            <rFont val="宋体"/>
            <charset val="134"/>
          </rPr>
          <t xml:space="preserve">的也选择“否”，其他情况选择“是”。
</t>
        </r>
        <r>
          <rPr>
            <b/>
            <sz val="9"/>
            <rFont val="宋体"/>
            <charset val="134"/>
          </rPr>
          <t xml:space="preserve">此项为必选项，否则无法计分
</t>
        </r>
      </text>
    </comment>
    <comment ref="I75" authorId="3">
      <text>
        <r>
          <rPr>
            <b/>
            <sz val="9"/>
            <rFont val="宋体"/>
            <charset val="134"/>
          </rPr>
          <t xml:space="preserve">作者:
</t>
        </r>
        <r>
          <rPr>
            <sz val="9"/>
            <rFont val="宋体"/>
            <charset val="134"/>
          </rPr>
          <t>请在下拉列表中选择填写内容！</t>
        </r>
      </text>
    </comment>
    <comment ref="J75" authorId="2">
      <text>
        <r>
          <rPr>
            <b/>
            <sz val="9"/>
            <rFont val="宋体"/>
            <charset val="134"/>
          </rPr>
          <t>作者:
直接填写数字！</t>
        </r>
        <r>
          <rPr>
            <sz val="9"/>
            <rFont val="宋体"/>
            <charset val="134"/>
          </rPr>
          <t>属“独立完成”不填写本栏目。</t>
        </r>
      </text>
    </comment>
    <comment ref="K75" authorId="0">
      <text>
        <r>
          <rPr>
            <b/>
            <sz val="9"/>
            <rFont val="宋体"/>
            <charset val="134"/>
          </rPr>
          <t>作者:
直接填写数字！</t>
        </r>
        <r>
          <rPr>
            <sz val="9"/>
            <rFont val="宋体"/>
            <charset val="134"/>
          </rPr>
          <t>属“独立完成”不填写本栏目。</t>
        </r>
      </text>
    </comment>
    <comment ref="B79" authorId="0">
      <text>
        <r>
          <rPr>
            <b/>
            <sz val="9"/>
            <rFont val="宋体"/>
            <charset val="134"/>
          </rPr>
          <t>作者:</t>
        </r>
        <r>
          <rPr>
            <sz val="9"/>
            <rFont val="宋体"/>
            <charset val="134"/>
          </rPr>
          <t xml:space="preserve">
请在下拉列表中选择填写内容！</t>
        </r>
      </text>
    </comment>
    <comment ref="I79" authorId="0">
      <text>
        <r>
          <rPr>
            <b/>
            <sz val="9"/>
            <rFont val="宋体"/>
            <charset val="134"/>
          </rPr>
          <t>作者:</t>
        </r>
        <r>
          <rPr>
            <sz val="9"/>
            <rFont val="宋体"/>
            <charset val="134"/>
          </rPr>
          <t xml:space="preserve">
请规范填写时间！格式为</t>
        </r>
        <r>
          <rPr>
            <sz val="9"/>
            <rFont val="Tahoma"/>
            <charset val="134"/>
          </rPr>
          <t>“1999</t>
        </r>
        <r>
          <rPr>
            <sz val="9"/>
            <rFont val="宋体"/>
            <charset val="134"/>
          </rPr>
          <t>年</t>
        </r>
        <r>
          <rPr>
            <sz val="9"/>
            <rFont val="Tahoma"/>
            <charset val="134"/>
          </rPr>
          <t>10</t>
        </r>
        <r>
          <rPr>
            <sz val="9"/>
            <rFont val="宋体"/>
            <charset val="134"/>
          </rPr>
          <t>月</t>
        </r>
        <r>
          <rPr>
            <sz val="9"/>
            <rFont val="Tahoma"/>
            <charset val="134"/>
          </rPr>
          <t>”</t>
        </r>
      </text>
    </comment>
    <comment ref="J79" authorId="0">
      <text>
        <r>
          <rPr>
            <b/>
            <sz val="9"/>
            <rFont val="宋体"/>
            <charset val="134"/>
          </rPr>
          <t>作者:
只填写数字！请注意单位！</t>
        </r>
      </text>
    </comment>
    <comment ref="K79" authorId="0">
      <text>
        <r>
          <rPr>
            <b/>
            <sz val="9"/>
            <rFont val="宋体"/>
            <charset val="134"/>
          </rPr>
          <t xml:space="preserve">作者:
</t>
        </r>
        <r>
          <rPr>
            <sz val="9"/>
            <rFont val="宋体"/>
            <charset val="134"/>
          </rPr>
          <t>请在下拉列表中选择填写内容！</t>
        </r>
      </text>
    </comment>
    <comment ref="B80" authorId="0">
      <text>
        <r>
          <rPr>
            <b/>
            <sz val="9"/>
            <rFont val="宋体"/>
            <charset val="134"/>
          </rPr>
          <t>作者:</t>
        </r>
        <r>
          <rPr>
            <sz val="9"/>
            <rFont val="宋体"/>
            <charset val="134"/>
          </rPr>
          <t xml:space="preserve">
请在下拉列表中选择填写内容！</t>
        </r>
      </text>
    </comment>
    <comment ref="I80" authorId="0">
      <text>
        <r>
          <rPr>
            <b/>
            <sz val="9"/>
            <rFont val="宋体"/>
            <charset val="134"/>
          </rPr>
          <t>作者:</t>
        </r>
        <r>
          <rPr>
            <sz val="9"/>
            <rFont val="宋体"/>
            <charset val="134"/>
          </rPr>
          <t xml:space="preserve">
请规范填写时间！格式为</t>
        </r>
        <r>
          <rPr>
            <sz val="9"/>
            <rFont val="Tahoma"/>
            <charset val="134"/>
          </rPr>
          <t>“1999</t>
        </r>
        <r>
          <rPr>
            <sz val="9"/>
            <rFont val="宋体"/>
            <charset val="134"/>
          </rPr>
          <t>年</t>
        </r>
        <r>
          <rPr>
            <sz val="9"/>
            <rFont val="Tahoma"/>
            <charset val="134"/>
          </rPr>
          <t>10</t>
        </r>
        <r>
          <rPr>
            <sz val="9"/>
            <rFont val="宋体"/>
            <charset val="134"/>
          </rPr>
          <t>月</t>
        </r>
        <r>
          <rPr>
            <sz val="9"/>
            <rFont val="Tahoma"/>
            <charset val="134"/>
          </rPr>
          <t>”</t>
        </r>
      </text>
    </comment>
    <comment ref="J80" authorId="0">
      <text>
        <r>
          <rPr>
            <b/>
            <sz val="9"/>
            <rFont val="宋体"/>
            <charset val="134"/>
          </rPr>
          <t>作者:
只填写数字！请注意单位！</t>
        </r>
      </text>
    </comment>
    <comment ref="K80" authorId="0">
      <text>
        <r>
          <rPr>
            <b/>
            <sz val="9"/>
            <rFont val="宋体"/>
            <charset val="134"/>
          </rPr>
          <t xml:space="preserve">作者:
</t>
        </r>
        <r>
          <rPr>
            <sz val="9"/>
            <rFont val="宋体"/>
            <charset val="134"/>
          </rPr>
          <t>请在下拉列表中选择填写内容！</t>
        </r>
      </text>
    </comment>
    <comment ref="B84" authorId="0">
      <text>
        <r>
          <rPr>
            <b/>
            <sz val="9"/>
            <rFont val="宋体"/>
            <charset val="134"/>
          </rPr>
          <t>作者:</t>
        </r>
        <r>
          <rPr>
            <sz val="9"/>
            <rFont val="宋体"/>
            <charset val="134"/>
          </rPr>
          <t xml:space="preserve">
请在下拉列表中选择填写内容！</t>
        </r>
      </text>
    </comment>
    <comment ref="G84" authorId="0">
      <text>
        <r>
          <rPr>
            <b/>
            <sz val="9"/>
            <rFont val="宋体"/>
            <charset val="134"/>
          </rPr>
          <t>作者:</t>
        </r>
        <r>
          <rPr>
            <sz val="9"/>
            <rFont val="宋体"/>
            <charset val="134"/>
          </rPr>
          <t xml:space="preserve">
如：“辽宁省人民政府”,“辽宁省教育厅”,“教育部”等。</t>
        </r>
      </text>
    </comment>
    <comment ref="H84" authorId="3">
      <text>
        <r>
          <rPr>
            <b/>
            <sz val="9"/>
            <rFont val="宋体"/>
            <charset val="134"/>
          </rPr>
          <t xml:space="preserve">作者:
</t>
        </r>
        <r>
          <rPr>
            <sz val="9"/>
            <rFont val="宋体"/>
            <charset val="134"/>
          </rPr>
          <t>请在下拉列表中选择填写内容！</t>
        </r>
      </text>
    </comment>
    <comment ref="I84" authorId="2">
      <text>
        <r>
          <rPr>
            <b/>
            <sz val="9"/>
            <rFont val="宋体"/>
            <charset val="134"/>
          </rPr>
          <t>作者:
直接填写数字！</t>
        </r>
        <r>
          <rPr>
            <sz val="9"/>
            <rFont val="宋体"/>
            <charset val="134"/>
          </rPr>
          <t>属“独立完成”不填写本栏目。</t>
        </r>
      </text>
    </comment>
    <comment ref="J84" authorId="0">
      <text>
        <r>
          <rPr>
            <b/>
            <sz val="9"/>
            <rFont val="宋体"/>
            <charset val="134"/>
          </rPr>
          <t>作者:
直接填写数字！</t>
        </r>
        <r>
          <rPr>
            <sz val="9"/>
            <rFont val="宋体"/>
            <charset val="134"/>
          </rPr>
          <t>属“独立完成”不填写本栏目。</t>
        </r>
      </text>
    </comment>
    <comment ref="K84" authorId="0">
      <text>
        <r>
          <rPr>
            <b/>
            <sz val="9"/>
            <rFont val="宋体"/>
            <charset val="134"/>
          </rPr>
          <t>作者:
只填写数字！请注意单位！</t>
        </r>
      </text>
    </comment>
    <comment ref="B85" authorId="0">
      <text>
        <r>
          <rPr>
            <b/>
            <sz val="9"/>
            <rFont val="宋体"/>
            <charset val="134"/>
          </rPr>
          <t>作者:</t>
        </r>
        <r>
          <rPr>
            <sz val="9"/>
            <rFont val="宋体"/>
            <charset val="134"/>
          </rPr>
          <t xml:space="preserve">
请在下拉列表中选择填写内容！</t>
        </r>
      </text>
    </comment>
    <comment ref="G85" authorId="0">
      <text>
        <r>
          <rPr>
            <b/>
            <sz val="9"/>
            <rFont val="宋体"/>
            <charset val="134"/>
          </rPr>
          <t>作者:</t>
        </r>
        <r>
          <rPr>
            <sz val="9"/>
            <rFont val="宋体"/>
            <charset val="134"/>
          </rPr>
          <t xml:space="preserve">
如：“辽宁省人民政府”,“辽宁省教育厅”,“教育部”等。</t>
        </r>
      </text>
    </comment>
    <comment ref="H85" authorId="3">
      <text>
        <r>
          <rPr>
            <b/>
            <sz val="9"/>
            <rFont val="宋体"/>
            <charset val="134"/>
          </rPr>
          <t xml:space="preserve">作者:
</t>
        </r>
        <r>
          <rPr>
            <sz val="9"/>
            <rFont val="宋体"/>
            <charset val="134"/>
          </rPr>
          <t>请在下拉列表中选择填写内容！</t>
        </r>
      </text>
    </comment>
    <comment ref="I85" authorId="2">
      <text>
        <r>
          <rPr>
            <b/>
            <sz val="9"/>
            <rFont val="宋体"/>
            <charset val="134"/>
          </rPr>
          <t>作者:
直接填写数字！</t>
        </r>
        <r>
          <rPr>
            <sz val="9"/>
            <rFont val="宋体"/>
            <charset val="134"/>
          </rPr>
          <t>属“独立完成”不填写本栏目。</t>
        </r>
      </text>
    </comment>
    <comment ref="J85" authorId="0">
      <text>
        <r>
          <rPr>
            <b/>
            <sz val="9"/>
            <rFont val="宋体"/>
            <charset val="134"/>
          </rPr>
          <t>作者:
直接填写数字！</t>
        </r>
        <r>
          <rPr>
            <sz val="9"/>
            <rFont val="宋体"/>
            <charset val="134"/>
          </rPr>
          <t>属“独立完成”不填写本栏目。</t>
        </r>
      </text>
    </comment>
    <comment ref="K85" authorId="0">
      <text>
        <r>
          <rPr>
            <b/>
            <sz val="9"/>
            <rFont val="宋体"/>
            <charset val="134"/>
          </rPr>
          <t>作者:
只填写数字！请注意单位！</t>
        </r>
      </text>
    </comment>
    <comment ref="B88" authorId="0">
      <text>
        <r>
          <rPr>
            <b/>
            <sz val="9"/>
            <rFont val="宋体"/>
            <charset val="134"/>
          </rPr>
          <t>作者:</t>
        </r>
        <r>
          <rPr>
            <sz val="9"/>
            <rFont val="宋体"/>
            <charset val="134"/>
          </rPr>
          <t xml:space="preserve">
请在下拉列表中选择填写内容！</t>
        </r>
      </text>
    </comment>
    <comment ref="G88" authorId="0">
      <text>
        <r>
          <rPr>
            <b/>
            <sz val="9"/>
            <rFont val="宋体"/>
            <charset val="134"/>
          </rPr>
          <t>作者:</t>
        </r>
        <r>
          <rPr>
            <sz val="9"/>
            <rFont val="宋体"/>
            <charset val="134"/>
          </rPr>
          <t xml:space="preserve">
如：“辽宁省人民政府”,“辽宁省教育厅”,“教育部”等。</t>
        </r>
      </text>
    </comment>
    <comment ref="H88" authorId="3">
      <text>
        <r>
          <rPr>
            <b/>
            <sz val="9"/>
            <rFont val="宋体"/>
            <charset val="134"/>
          </rPr>
          <t xml:space="preserve">作者:
</t>
        </r>
        <r>
          <rPr>
            <sz val="9"/>
            <rFont val="宋体"/>
            <charset val="134"/>
          </rPr>
          <t>请在下拉列表中选择填写内容！</t>
        </r>
      </text>
    </comment>
    <comment ref="I88" authorId="2">
      <text>
        <r>
          <rPr>
            <b/>
            <sz val="9"/>
            <rFont val="宋体"/>
            <charset val="134"/>
          </rPr>
          <t>作者:
直接填写数字！</t>
        </r>
        <r>
          <rPr>
            <sz val="9"/>
            <rFont val="宋体"/>
            <charset val="134"/>
          </rPr>
          <t>属“独立完成”不填写本栏目。</t>
        </r>
      </text>
    </comment>
    <comment ref="J88" authorId="0">
      <text>
        <r>
          <rPr>
            <b/>
            <sz val="9"/>
            <rFont val="宋体"/>
            <charset val="134"/>
          </rPr>
          <t>作者:
直接填写数字！</t>
        </r>
        <r>
          <rPr>
            <sz val="9"/>
            <rFont val="宋体"/>
            <charset val="134"/>
          </rPr>
          <t>属“独立完成”不填写本栏目。</t>
        </r>
      </text>
    </comment>
    <comment ref="K88" authorId="0">
      <text>
        <r>
          <rPr>
            <b/>
            <sz val="9"/>
            <rFont val="宋体"/>
            <charset val="134"/>
          </rPr>
          <t>作者:
只填写数字！请注意单位！</t>
        </r>
      </text>
    </comment>
    <comment ref="B92" authorId="0">
      <text>
        <r>
          <rPr>
            <b/>
            <sz val="9"/>
            <rFont val="宋体"/>
            <charset val="134"/>
          </rPr>
          <t>作者:</t>
        </r>
        <r>
          <rPr>
            <sz val="9"/>
            <rFont val="宋体"/>
            <charset val="134"/>
          </rPr>
          <t xml:space="preserve">
请在下拉列表中选择填写内容！</t>
        </r>
      </text>
    </comment>
    <comment ref="C92" authorId="0">
      <text>
        <r>
          <rPr>
            <b/>
            <sz val="9"/>
            <rFont val="宋体"/>
            <charset val="134"/>
          </rPr>
          <t>作者:</t>
        </r>
        <r>
          <rPr>
            <sz val="9"/>
            <rFont val="宋体"/>
            <charset val="134"/>
          </rPr>
          <t xml:space="preserve">
请在下拉列表中选择填写内容！</t>
        </r>
      </text>
    </comment>
    <comment ref="G92" authorId="1">
      <text>
        <r>
          <rPr>
            <b/>
            <sz val="9"/>
            <rFont val="宋体"/>
            <charset val="134"/>
          </rPr>
          <t>admin:</t>
        </r>
        <r>
          <rPr>
            <sz val="9"/>
            <rFont val="宋体"/>
            <charset val="134"/>
          </rPr>
          <t xml:space="preserve">
作者:
如：“辽宁省人民政府”,“辽宁省教育厅”,“教育部”等。
</t>
        </r>
      </text>
    </comment>
    <comment ref="I92" authorId="3">
      <text>
        <r>
          <rPr>
            <b/>
            <sz val="9"/>
            <rFont val="宋体"/>
            <charset val="134"/>
          </rPr>
          <t xml:space="preserve">作者:
</t>
        </r>
        <r>
          <rPr>
            <sz val="9"/>
            <rFont val="宋体"/>
            <charset val="134"/>
          </rPr>
          <t>请在下拉列表中选择填写内容！</t>
        </r>
      </text>
    </comment>
    <comment ref="J92" authorId="2">
      <text>
        <r>
          <rPr>
            <b/>
            <sz val="9"/>
            <rFont val="宋体"/>
            <charset val="134"/>
          </rPr>
          <t>作者:
直接填写数字！</t>
        </r>
        <r>
          <rPr>
            <sz val="9"/>
            <rFont val="宋体"/>
            <charset val="134"/>
          </rPr>
          <t>属“独立完成”不填写本栏目。</t>
        </r>
      </text>
    </comment>
    <comment ref="K92" authorId="0">
      <text>
        <r>
          <rPr>
            <b/>
            <sz val="9"/>
            <rFont val="宋体"/>
            <charset val="134"/>
          </rPr>
          <t>作者:
直接填写数字！</t>
        </r>
        <r>
          <rPr>
            <sz val="9"/>
            <rFont val="宋体"/>
            <charset val="134"/>
          </rPr>
          <t>属“独立完成”不填写本栏目。</t>
        </r>
      </text>
    </comment>
    <comment ref="B93" authorId="0">
      <text>
        <r>
          <rPr>
            <b/>
            <sz val="9"/>
            <rFont val="宋体"/>
            <charset val="134"/>
          </rPr>
          <t>作者:</t>
        </r>
        <r>
          <rPr>
            <sz val="9"/>
            <rFont val="宋体"/>
            <charset val="134"/>
          </rPr>
          <t xml:space="preserve">
请在下拉列表中选择填写内容！</t>
        </r>
      </text>
    </comment>
    <comment ref="C93" authorId="0">
      <text>
        <r>
          <rPr>
            <b/>
            <sz val="9"/>
            <rFont val="宋体"/>
            <charset val="134"/>
          </rPr>
          <t>作者:</t>
        </r>
        <r>
          <rPr>
            <sz val="9"/>
            <rFont val="宋体"/>
            <charset val="134"/>
          </rPr>
          <t xml:space="preserve">
请在下拉列表中选择填写内容！</t>
        </r>
      </text>
    </comment>
    <comment ref="G93" authorId="1">
      <text>
        <r>
          <rPr>
            <b/>
            <sz val="9"/>
            <rFont val="宋体"/>
            <charset val="134"/>
          </rPr>
          <t>admin:</t>
        </r>
        <r>
          <rPr>
            <sz val="9"/>
            <rFont val="宋体"/>
            <charset val="134"/>
          </rPr>
          <t xml:space="preserve">
作者:
如：“辽宁省人民政府”,“辽宁省教育厅”,“教育部”等。</t>
        </r>
      </text>
    </comment>
    <comment ref="I93" authorId="3">
      <text>
        <r>
          <rPr>
            <b/>
            <sz val="9"/>
            <rFont val="宋体"/>
            <charset val="134"/>
          </rPr>
          <t xml:space="preserve">作者:
</t>
        </r>
        <r>
          <rPr>
            <sz val="9"/>
            <rFont val="宋体"/>
            <charset val="134"/>
          </rPr>
          <t>请在下拉列表中选择填写内容！</t>
        </r>
      </text>
    </comment>
    <comment ref="J93" authorId="2">
      <text>
        <r>
          <rPr>
            <b/>
            <sz val="9"/>
            <rFont val="宋体"/>
            <charset val="134"/>
          </rPr>
          <t>作者:
直接填写数字！</t>
        </r>
        <r>
          <rPr>
            <sz val="9"/>
            <rFont val="宋体"/>
            <charset val="134"/>
          </rPr>
          <t>属“独立完成”不填写本栏目。</t>
        </r>
      </text>
    </comment>
    <comment ref="K93" authorId="0">
      <text>
        <r>
          <rPr>
            <b/>
            <sz val="9"/>
            <rFont val="宋体"/>
            <charset val="134"/>
          </rPr>
          <t>作者:
直接填写数字！</t>
        </r>
        <r>
          <rPr>
            <sz val="9"/>
            <rFont val="宋体"/>
            <charset val="134"/>
          </rPr>
          <t>属“独立完成”不填写本栏目。</t>
        </r>
      </text>
    </comment>
    <comment ref="B97" authorId="0">
      <text>
        <r>
          <rPr>
            <b/>
            <sz val="9"/>
            <rFont val="宋体"/>
            <charset val="134"/>
          </rPr>
          <t>作者:</t>
        </r>
        <r>
          <rPr>
            <sz val="9"/>
            <rFont val="宋体"/>
            <charset val="134"/>
          </rPr>
          <t xml:space="preserve">
请在下拉列表中选择填写内容！</t>
        </r>
      </text>
    </comment>
    <comment ref="H97" authorId="3">
      <text>
        <r>
          <rPr>
            <b/>
            <sz val="9"/>
            <rFont val="宋体"/>
            <charset val="134"/>
          </rPr>
          <t xml:space="preserve">作者:
</t>
        </r>
        <r>
          <rPr>
            <sz val="9"/>
            <rFont val="宋体"/>
            <charset val="134"/>
          </rPr>
          <t>请在下拉列表中选择填写内容！</t>
        </r>
      </text>
    </comment>
    <comment ref="I97" authorId="2">
      <text>
        <r>
          <rPr>
            <b/>
            <sz val="9"/>
            <rFont val="宋体"/>
            <charset val="134"/>
          </rPr>
          <t>作者:
直接填写数字！</t>
        </r>
        <r>
          <rPr>
            <sz val="9"/>
            <rFont val="宋体"/>
            <charset val="134"/>
          </rPr>
          <t>属“独立完成”不填写本栏目。</t>
        </r>
      </text>
    </comment>
    <comment ref="J97" authorId="0">
      <text>
        <r>
          <rPr>
            <b/>
            <sz val="9"/>
            <rFont val="宋体"/>
            <charset val="134"/>
          </rPr>
          <t>作者:
直接填写数字！</t>
        </r>
        <r>
          <rPr>
            <sz val="9"/>
            <rFont val="宋体"/>
            <charset val="134"/>
          </rPr>
          <t>属“独立完成”不填写本栏目。</t>
        </r>
      </text>
    </comment>
    <comment ref="K97" authorId="0">
      <text>
        <r>
          <rPr>
            <b/>
            <sz val="9"/>
            <rFont val="宋体"/>
            <charset val="134"/>
          </rPr>
          <t>作者:
只填写数字！请注意单位！</t>
        </r>
      </text>
    </comment>
    <comment ref="B102" authorId="0">
      <text>
        <r>
          <rPr>
            <b/>
            <sz val="9"/>
            <rFont val="宋体"/>
            <charset val="134"/>
          </rPr>
          <t>作者:</t>
        </r>
        <r>
          <rPr>
            <sz val="9"/>
            <rFont val="宋体"/>
            <charset val="134"/>
          </rPr>
          <t xml:space="preserve">
请在下拉列表中选择填写内容！</t>
        </r>
      </text>
    </comment>
    <comment ref="C102" authorId="4">
      <text>
        <r>
          <rPr>
            <b/>
            <sz val="9"/>
            <rFont val="宋体"/>
            <charset val="134"/>
          </rPr>
          <t>Admin:</t>
        </r>
        <r>
          <rPr>
            <sz val="9"/>
            <rFont val="宋体"/>
            <charset val="134"/>
          </rPr>
          <t xml:space="preserve">
请在下拉列表中选择填写内容！
</t>
        </r>
      </text>
    </comment>
    <comment ref="E102" authorId="0">
      <text>
        <r>
          <rPr>
            <b/>
            <sz val="9"/>
            <rFont val="宋体"/>
            <charset val="134"/>
          </rPr>
          <t>作者:</t>
        </r>
        <r>
          <rPr>
            <sz val="9"/>
            <rFont val="宋体"/>
            <charset val="134"/>
          </rPr>
          <t xml:space="preserve">
请在下拉列表中选择填写内容！</t>
        </r>
      </text>
    </comment>
    <comment ref="I102" authorId="3">
      <text>
        <r>
          <rPr>
            <b/>
            <sz val="9"/>
            <rFont val="宋体"/>
            <charset val="134"/>
          </rPr>
          <t xml:space="preserve">作者:
</t>
        </r>
        <r>
          <rPr>
            <sz val="9"/>
            <rFont val="宋体"/>
            <charset val="134"/>
          </rPr>
          <t>请在下拉列表中选择填写内容！</t>
        </r>
      </text>
    </comment>
    <comment ref="J102" authorId="0">
      <text>
        <r>
          <rPr>
            <b/>
            <sz val="9"/>
            <rFont val="宋体"/>
            <charset val="134"/>
          </rPr>
          <t>作者:
直接填写数字！</t>
        </r>
        <r>
          <rPr>
            <sz val="9"/>
            <rFont val="宋体"/>
            <charset val="134"/>
          </rPr>
          <t>属“独立完成”不填写本栏目。</t>
        </r>
      </text>
    </comment>
    <comment ref="K102" authorId="0">
      <text>
        <r>
          <rPr>
            <b/>
            <sz val="9"/>
            <rFont val="宋体"/>
            <charset val="134"/>
          </rPr>
          <t>作者:
直接填写数字！</t>
        </r>
        <r>
          <rPr>
            <sz val="9"/>
            <rFont val="宋体"/>
            <charset val="134"/>
          </rPr>
          <t>属“独立完成”不填写本栏目。</t>
        </r>
      </text>
    </comment>
    <comment ref="B103" authorId="0">
      <text>
        <r>
          <rPr>
            <b/>
            <sz val="9"/>
            <rFont val="宋体"/>
            <charset val="134"/>
          </rPr>
          <t>作者:</t>
        </r>
        <r>
          <rPr>
            <sz val="9"/>
            <rFont val="宋体"/>
            <charset val="134"/>
          </rPr>
          <t xml:space="preserve">
请在下拉列表中选择填写内容！“示范专业”请选择“品牌专业”。</t>
        </r>
      </text>
    </comment>
    <comment ref="C103" authorId="4">
      <text>
        <r>
          <rPr>
            <b/>
            <sz val="9"/>
            <rFont val="宋体"/>
            <charset val="134"/>
          </rPr>
          <t>Admin:</t>
        </r>
        <r>
          <rPr>
            <sz val="9"/>
            <rFont val="宋体"/>
            <charset val="134"/>
          </rPr>
          <t xml:space="preserve">
请在下拉列表中选择填写内容！
</t>
        </r>
      </text>
    </comment>
    <comment ref="E103" authorId="0">
      <text>
        <r>
          <rPr>
            <b/>
            <sz val="9"/>
            <rFont val="宋体"/>
            <charset val="134"/>
          </rPr>
          <t>作者:</t>
        </r>
        <r>
          <rPr>
            <sz val="9"/>
            <rFont val="宋体"/>
            <charset val="134"/>
          </rPr>
          <t xml:space="preserve">
请在下拉列表中选择填写内容！</t>
        </r>
      </text>
    </comment>
    <comment ref="I103" authorId="3">
      <text>
        <r>
          <rPr>
            <b/>
            <sz val="9"/>
            <rFont val="宋体"/>
            <charset val="134"/>
          </rPr>
          <t xml:space="preserve">作者:
</t>
        </r>
        <r>
          <rPr>
            <sz val="9"/>
            <rFont val="宋体"/>
            <charset val="134"/>
          </rPr>
          <t>请在下拉列表中选择填写内容！</t>
        </r>
      </text>
    </comment>
    <comment ref="J103" authorId="0">
      <text>
        <r>
          <rPr>
            <b/>
            <sz val="9"/>
            <rFont val="宋体"/>
            <charset val="134"/>
          </rPr>
          <t>作者:
直接填写数字！</t>
        </r>
        <r>
          <rPr>
            <sz val="9"/>
            <rFont val="宋体"/>
            <charset val="134"/>
          </rPr>
          <t>属“独立完成”不填写本栏目。</t>
        </r>
      </text>
    </comment>
    <comment ref="K103" authorId="0">
      <text>
        <r>
          <rPr>
            <b/>
            <sz val="9"/>
            <rFont val="宋体"/>
            <charset val="134"/>
          </rPr>
          <t>作者:
直接填写数字！</t>
        </r>
        <r>
          <rPr>
            <sz val="9"/>
            <rFont val="宋体"/>
            <charset val="134"/>
          </rPr>
          <t>属“独立完成”不填写本栏目。</t>
        </r>
      </text>
    </comment>
    <comment ref="E105" authorId="1">
      <text>
        <r>
          <rPr>
            <b/>
            <sz val="9"/>
            <rFont val="宋体"/>
            <charset val="134"/>
          </rPr>
          <t>admin:</t>
        </r>
        <r>
          <rPr>
            <sz val="9"/>
            <rFont val="宋体"/>
            <charset val="134"/>
          </rPr>
          <t xml:space="preserve">
填写格式例：
2012年09月-2014年9月</t>
        </r>
      </text>
    </comment>
    <comment ref="B110" authorId="0">
      <text>
        <r>
          <rPr>
            <b/>
            <sz val="9"/>
            <rFont val="宋体"/>
            <charset val="134"/>
          </rPr>
          <t>作者:</t>
        </r>
        <r>
          <rPr>
            <sz val="9"/>
            <rFont val="宋体"/>
            <charset val="134"/>
          </rPr>
          <t xml:space="preserve">
请在下拉列表中选择填写内容！“示范专业”请选择“品牌专业”。</t>
        </r>
      </text>
    </comment>
    <comment ref="C110" authorId="4">
      <text>
        <r>
          <rPr>
            <b/>
            <sz val="9"/>
            <rFont val="宋体"/>
            <charset val="134"/>
          </rPr>
          <t>Admin:</t>
        </r>
        <r>
          <rPr>
            <sz val="9"/>
            <rFont val="宋体"/>
            <charset val="134"/>
          </rPr>
          <t xml:space="preserve">
请在下拉列表中选择填写内容！
</t>
        </r>
      </text>
    </comment>
    <comment ref="E110" authorId="0">
      <text>
        <r>
          <rPr>
            <b/>
            <sz val="9"/>
            <rFont val="宋体"/>
            <charset val="134"/>
          </rPr>
          <t>作者:</t>
        </r>
        <r>
          <rPr>
            <sz val="9"/>
            <rFont val="宋体"/>
            <charset val="134"/>
          </rPr>
          <t xml:space="preserve">
请在下拉列表中选择填写内容！</t>
        </r>
      </text>
    </comment>
    <comment ref="I110" authorId="3">
      <text>
        <r>
          <rPr>
            <b/>
            <sz val="9"/>
            <rFont val="宋体"/>
            <charset val="134"/>
          </rPr>
          <t xml:space="preserve">作者:
</t>
        </r>
        <r>
          <rPr>
            <sz val="9"/>
            <rFont val="宋体"/>
            <charset val="134"/>
          </rPr>
          <t>请在下拉列表中选择填写内容！</t>
        </r>
      </text>
    </comment>
    <comment ref="J110" authorId="0">
      <text>
        <r>
          <rPr>
            <b/>
            <sz val="9"/>
            <rFont val="宋体"/>
            <charset val="134"/>
          </rPr>
          <t>作者:
直接填写数字！</t>
        </r>
        <r>
          <rPr>
            <sz val="9"/>
            <rFont val="宋体"/>
            <charset val="134"/>
          </rPr>
          <t>属“独立完成”不填写本栏目。</t>
        </r>
      </text>
    </comment>
    <comment ref="K110" authorId="0">
      <text>
        <r>
          <rPr>
            <b/>
            <sz val="9"/>
            <rFont val="宋体"/>
            <charset val="134"/>
          </rPr>
          <t>作者:
直接填写数字！</t>
        </r>
        <r>
          <rPr>
            <sz val="9"/>
            <rFont val="宋体"/>
            <charset val="134"/>
          </rPr>
          <t>属“独立完成”不填写本栏目。</t>
        </r>
      </text>
    </comment>
    <comment ref="B114" authorId="4">
      <text>
        <r>
          <rPr>
            <b/>
            <sz val="9"/>
            <rFont val="宋体"/>
            <charset val="134"/>
          </rPr>
          <t>Admin:</t>
        </r>
        <r>
          <rPr>
            <sz val="9"/>
            <rFont val="宋体"/>
            <charset val="134"/>
          </rPr>
          <t xml:space="preserve">
请在下拉列表中选择填写内容！
</t>
        </r>
      </text>
    </comment>
    <comment ref="C114" authorId="0">
      <text>
        <r>
          <rPr>
            <b/>
            <sz val="9"/>
            <rFont val="宋体"/>
            <charset val="134"/>
          </rPr>
          <t>作者:</t>
        </r>
        <r>
          <rPr>
            <sz val="9"/>
            <rFont val="宋体"/>
            <charset val="134"/>
          </rPr>
          <t xml:space="preserve">
请在下拉列表中选择填写内容！</t>
        </r>
      </text>
    </comment>
    <comment ref="I114" authorId="1">
      <text>
        <r>
          <rPr>
            <b/>
            <sz val="9"/>
            <rFont val="宋体"/>
            <charset val="134"/>
          </rPr>
          <t>admin:</t>
        </r>
        <r>
          <rPr>
            <sz val="9"/>
            <rFont val="宋体"/>
            <charset val="134"/>
          </rPr>
          <t xml:space="preserve">
请规范填写时间！格式为“1999年10月”</t>
        </r>
      </text>
    </comment>
    <comment ref="J114" authorId="3">
      <text>
        <r>
          <rPr>
            <b/>
            <sz val="9"/>
            <rFont val="宋体"/>
            <charset val="134"/>
          </rPr>
          <t xml:space="preserve">作者:
</t>
        </r>
        <r>
          <rPr>
            <sz val="9"/>
            <rFont val="宋体"/>
            <charset val="134"/>
          </rPr>
          <t>请在下拉列表中选择填写内容！</t>
        </r>
      </text>
    </comment>
    <comment ref="K114" authorId="0">
      <text>
        <r>
          <rPr>
            <b/>
            <sz val="9"/>
            <rFont val="宋体"/>
            <charset val="134"/>
          </rPr>
          <t>作者:
直接填写数字！</t>
        </r>
        <r>
          <rPr>
            <sz val="9"/>
            <rFont val="宋体"/>
            <charset val="134"/>
          </rPr>
          <t>属“独立完成”不填写本栏目。</t>
        </r>
      </text>
    </comment>
    <comment ref="B115" authorId="4">
      <text>
        <r>
          <rPr>
            <b/>
            <sz val="9"/>
            <rFont val="宋体"/>
            <charset val="134"/>
          </rPr>
          <t>Admin:</t>
        </r>
        <r>
          <rPr>
            <sz val="9"/>
            <rFont val="宋体"/>
            <charset val="134"/>
          </rPr>
          <t xml:space="preserve">
请在下拉列表中选择填写内容！
</t>
        </r>
      </text>
    </comment>
    <comment ref="C115" authorId="0">
      <text>
        <r>
          <rPr>
            <b/>
            <sz val="9"/>
            <rFont val="宋体"/>
            <charset val="134"/>
          </rPr>
          <t>作者:</t>
        </r>
        <r>
          <rPr>
            <sz val="9"/>
            <rFont val="宋体"/>
            <charset val="134"/>
          </rPr>
          <t xml:space="preserve">
请在下拉列表中选择填写内容！</t>
        </r>
      </text>
    </comment>
    <comment ref="J115" authorId="3">
      <text>
        <r>
          <rPr>
            <b/>
            <sz val="9"/>
            <rFont val="宋体"/>
            <charset val="134"/>
          </rPr>
          <t xml:space="preserve">作者:
</t>
        </r>
        <r>
          <rPr>
            <sz val="9"/>
            <rFont val="宋体"/>
            <charset val="134"/>
          </rPr>
          <t>请在下拉列表中选择填写内容！</t>
        </r>
      </text>
    </comment>
    <comment ref="K115" authorId="0">
      <text>
        <r>
          <rPr>
            <b/>
            <sz val="9"/>
            <rFont val="宋体"/>
            <charset val="134"/>
          </rPr>
          <t>作者:
直接填写数字！</t>
        </r>
        <r>
          <rPr>
            <sz val="9"/>
            <rFont val="宋体"/>
            <charset val="134"/>
          </rPr>
          <t>属“独立完成”不填写本栏目。</t>
        </r>
      </text>
    </comment>
    <comment ref="B116" authorId="4">
      <text>
        <r>
          <rPr>
            <b/>
            <sz val="9"/>
            <rFont val="宋体"/>
            <charset val="134"/>
          </rPr>
          <t>Admin:</t>
        </r>
        <r>
          <rPr>
            <sz val="9"/>
            <rFont val="宋体"/>
            <charset val="134"/>
          </rPr>
          <t xml:space="preserve">
请在下拉列表中选择填写内容！
</t>
        </r>
      </text>
    </comment>
    <comment ref="C116" authorId="0">
      <text>
        <r>
          <rPr>
            <b/>
            <sz val="9"/>
            <rFont val="宋体"/>
            <charset val="134"/>
          </rPr>
          <t>作者:</t>
        </r>
        <r>
          <rPr>
            <sz val="9"/>
            <rFont val="宋体"/>
            <charset val="134"/>
          </rPr>
          <t xml:space="preserve">
请在下拉列表中选择填写内容！</t>
        </r>
      </text>
    </comment>
    <comment ref="J116" authorId="3">
      <text>
        <r>
          <rPr>
            <b/>
            <sz val="9"/>
            <rFont val="宋体"/>
            <charset val="134"/>
          </rPr>
          <t xml:space="preserve">作者:
</t>
        </r>
        <r>
          <rPr>
            <sz val="9"/>
            <rFont val="宋体"/>
            <charset val="134"/>
          </rPr>
          <t>请在下拉列表中选择填写内容！</t>
        </r>
      </text>
    </comment>
    <comment ref="K116" authorId="0">
      <text>
        <r>
          <rPr>
            <b/>
            <sz val="9"/>
            <rFont val="宋体"/>
            <charset val="134"/>
          </rPr>
          <t>作者:
直接填写数字！</t>
        </r>
        <r>
          <rPr>
            <sz val="9"/>
            <rFont val="宋体"/>
            <charset val="134"/>
          </rPr>
          <t>属“独立完成”不填写本栏目。</t>
        </r>
      </text>
    </comment>
    <comment ref="B120" authorId="0">
      <text>
        <r>
          <rPr>
            <b/>
            <sz val="9"/>
            <rFont val="宋体"/>
            <charset val="134"/>
          </rPr>
          <t>作者:</t>
        </r>
        <r>
          <rPr>
            <sz val="9"/>
            <rFont val="宋体"/>
            <charset val="134"/>
          </rPr>
          <t xml:space="preserve">
请在下拉列表中选择填写内容！</t>
        </r>
      </text>
    </comment>
    <comment ref="C120" authorId="0">
      <text>
        <r>
          <rPr>
            <b/>
            <sz val="9"/>
            <rFont val="宋体"/>
            <charset val="134"/>
          </rPr>
          <t>作者:</t>
        </r>
        <r>
          <rPr>
            <sz val="9"/>
            <rFont val="宋体"/>
            <charset val="134"/>
          </rPr>
          <t xml:space="preserve">
请在下拉列表中选择填写内容！</t>
        </r>
      </text>
    </comment>
    <comment ref="E120" authorId="1">
      <text>
        <r>
          <rPr>
            <b/>
            <sz val="9"/>
            <rFont val="宋体"/>
            <charset val="134"/>
          </rPr>
          <t>admin:</t>
        </r>
        <r>
          <rPr>
            <sz val="9"/>
            <rFont val="宋体"/>
            <charset val="134"/>
          </rPr>
          <t xml:space="preserve">
请在下拉列表中选择填写内容！
</t>
        </r>
      </text>
    </comment>
    <comment ref="I120" authorId="3">
      <text>
        <r>
          <rPr>
            <b/>
            <sz val="9"/>
            <rFont val="宋体"/>
            <charset val="134"/>
          </rPr>
          <t xml:space="preserve">作者:
</t>
        </r>
        <r>
          <rPr>
            <sz val="9"/>
            <rFont val="宋体"/>
            <charset val="134"/>
          </rPr>
          <t>请在下拉列表中选择填写内容！</t>
        </r>
      </text>
    </comment>
    <comment ref="K120" authorId="1">
      <text>
        <r>
          <rPr>
            <b/>
            <sz val="9"/>
            <rFont val="宋体"/>
            <charset val="134"/>
          </rPr>
          <t>admin:</t>
        </r>
        <r>
          <rPr>
            <sz val="9"/>
            <rFont val="宋体"/>
            <charset val="134"/>
          </rPr>
          <t xml:space="preserve">
请规范填写时间！格式为“1999年10月”</t>
        </r>
      </text>
    </comment>
    <comment ref="B122" authorId="0">
      <text>
        <r>
          <rPr>
            <b/>
            <sz val="9"/>
            <rFont val="宋体"/>
            <charset val="134"/>
          </rPr>
          <t>作者:</t>
        </r>
        <r>
          <rPr>
            <sz val="9"/>
            <rFont val="宋体"/>
            <charset val="134"/>
          </rPr>
          <t xml:space="preserve">
请在下拉列表中选择填写内容！</t>
        </r>
      </text>
    </comment>
    <comment ref="C122" authorId="0">
      <text>
        <r>
          <rPr>
            <b/>
            <sz val="9"/>
            <rFont val="宋体"/>
            <charset val="134"/>
          </rPr>
          <t>作者:</t>
        </r>
        <r>
          <rPr>
            <sz val="9"/>
            <rFont val="宋体"/>
            <charset val="134"/>
          </rPr>
          <t xml:space="preserve">
请在下拉列表中选择填写内容！</t>
        </r>
      </text>
    </comment>
    <comment ref="B126" authorId="0">
      <text>
        <r>
          <rPr>
            <b/>
            <sz val="9"/>
            <rFont val="宋体"/>
            <charset val="134"/>
          </rPr>
          <t>作者:</t>
        </r>
        <r>
          <rPr>
            <sz val="9"/>
            <rFont val="宋体"/>
            <charset val="134"/>
          </rPr>
          <t xml:space="preserve">
请在下拉列表中选择填写内容！</t>
        </r>
      </text>
    </comment>
    <comment ref="C126" authorId="0">
      <text>
        <r>
          <rPr>
            <b/>
            <sz val="9"/>
            <rFont val="宋体"/>
            <charset val="134"/>
          </rPr>
          <t>作者:</t>
        </r>
        <r>
          <rPr>
            <sz val="9"/>
            <rFont val="宋体"/>
            <charset val="134"/>
          </rPr>
          <t xml:space="preserve">
请在下拉列表中选择填写内容！</t>
        </r>
      </text>
    </comment>
    <comment ref="E126" authorId="1">
      <text>
        <r>
          <rPr>
            <b/>
            <sz val="9"/>
            <rFont val="宋体"/>
            <charset val="134"/>
          </rPr>
          <t>admin:</t>
        </r>
        <r>
          <rPr>
            <sz val="9"/>
            <rFont val="宋体"/>
            <charset val="134"/>
          </rPr>
          <t xml:space="preserve">
请在下拉列表中选择填写内容！
</t>
        </r>
      </text>
    </comment>
    <comment ref="I126" authorId="3">
      <text>
        <r>
          <rPr>
            <b/>
            <sz val="9"/>
            <rFont val="宋体"/>
            <charset val="134"/>
          </rPr>
          <t xml:space="preserve">作者:
</t>
        </r>
        <r>
          <rPr>
            <sz val="9"/>
            <rFont val="宋体"/>
            <charset val="134"/>
          </rPr>
          <t>请在下拉列表中选择填写内容！</t>
        </r>
      </text>
    </comment>
    <comment ref="K126" authorId="1">
      <text>
        <r>
          <rPr>
            <b/>
            <sz val="9"/>
            <rFont val="宋体"/>
            <charset val="134"/>
          </rPr>
          <t>admin:</t>
        </r>
        <r>
          <rPr>
            <sz val="9"/>
            <rFont val="宋体"/>
            <charset val="134"/>
          </rPr>
          <t xml:space="preserve">
请规范填写时间！格式为“1999年10月”</t>
        </r>
      </text>
    </comment>
    <comment ref="B128" authorId="0">
      <text>
        <r>
          <rPr>
            <b/>
            <sz val="9"/>
            <rFont val="宋体"/>
            <charset val="134"/>
          </rPr>
          <t>作者:</t>
        </r>
        <r>
          <rPr>
            <sz val="9"/>
            <rFont val="宋体"/>
            <charset val="134"/>
          </rPr>
          <t xml:space="preserve">
请在下拉列表中选择填写内容！</t>
        </r>
      </text>
    </comment>
    <comment ref="C128" authorId="0">
      <text>
        <r>
          <rPr>
            <b/>
            <sz val="9"/>
            <rFont val="宋体"/>
            <charset val="134"/>
          </rPr>
          <t>作者:</t>
        </r>
        <r>
          <rPr>
            <sz val="9"/>
            <rFont val="宋体"/>
            <charset val="134"/>
          </rPr>
          <t xml:space="preserve">
请在下拉列表中选择填写内容！</t>
        </r>
      </text>
    </comment>
    <comment ref="B132" authorId="0">
      <text>
        <r>
          <rPr>
            <b/>
            <sz val="9"/>
            <rFont val="宋体"/>
            <charset val="134"/>
          </rPr>
          <t>作者:</t>
        </r>
        <r>
          <rPr>
            <sz val="9"/>
            <rFont val="宋体"/>
            <charset val="134"/>
          </rPr>
          <t xml:space="preserve">
请在下拉列表中选择填写内容！</t>
        </r>
      </text>
    </comment>
    <comment ref="I132" authorId="3">
      <text>
        <r>
          <rPr>
            <b/>
            <sz val="9"/>
            <rFont val="宋体"/>
            <charset val="134"/>
          </rPr>
          <t xml:space="preserve">作者:
</t>
        </r>
        <r>
          <rPr>
            <sz val="9"/>
            <rFont val="宋体"/>
            <charset val="134"/>
          </rPr>
          <t>请在下拉列表中选择填写内容！</t>
        </r>
      </text>
    </comment>
    <comment ref="J132" authorId="2">
      <text>
        <r>
          <rPr>
            <b/>
            <sz val="9"/>
            <rFont val="宋体"/>
            <charset val="134"/>
          </rPr>
          <t>作者:
直接填写数字！</t>
        </r>
        <r>
          <rPr>
            <sz val="9"/>
            <rFont val="宋体"/>
            <charset val="134"/>
          </rPr>
          <t>属“独立完成”不填写本栏目。</t>
        </r>
      </text>
    </comment>
    <comment ref="K132" authorId="0">
      <text>
        <r>
          <rPr>
            <b/>
            <sz val="9"/>
            <rFont val="宋体"/>
            <charset val="134"/>
          </rPr>
          <t>作者:
直接填写数字！</t>
        </r>
        <r>
          <rPr>
            <sz val="9"/>
            <rFont val="宋体"/>
            <charset val="134"/>
          </rPr>
          <t>属“独立完成”不填写本栏目。</t>
        </r>
      </text>
    </comment>
    <comment ref="B133" authorId="0">
      <text>
        <r>
          <rPr>
            <b/>
            <sz val="9"/>
            <rFont val="宋体"/>
            <charset val="134"/>
          </rPr>
          <t>作者:</t>
        </r>
        <r>
          <rPr>
            <sz val="9"/>
            <rFont val="宋体"/>
            <charset val="134"/>
          </rPr>
          <t xml:space="preserve">
请在下拉列表中选择填写内容！</t>
        </r>
      </text>
    </comment>
    <comment ref="I133" authorId="3">
      <text>
        <r>
          <rPr>
            <b/>
            <sz val="9"/>
            <rFont val="宋体"/>
            <charset val="134"/>
          </rPr>
          <t xml:space="preserve">作者:
</t>
        </r>
        <r>
          <rPr>
            <sz val="9"/>
            <rFont val="宋体"/>
            <charset val="134"/>
          </rPr>
          <t>请在下拉列表中选择填写内容！</t>
        </r>
      </text>
    </comment>
    <comment ref="J133" authorId="2">
      <text>
        <r>
          <rPr>
            <b/>
            <sz val="9"/>
            <rFont val="宋体"/>
            <charset val="134"/>
          </rPr>
          <t>作者:
直接填写数字！</t>
        </r>
        <r>
          <rPr>
            <sz val="9"/>
            <rFont val="宋体"/>
            <charset val="134"/>
          </rPr>
          <t>属“独立完成”不填写本栏目。</t>
        </r>
      </text>
    </comment>
    <comment ref="K133" authorId="0">
      <text>
        <r>
          <rPr>
            <b/>
            <sz val="9"/>
            <rFont val="宋体"/>
            <charset val="134"/>
          </rPr>
          <t>作者:
直接填写数字！</t>
        </r>
        <r>
          <rPr>
            <sz val="9"/>
            <rFont val="宋体"/>
            <charset val="134"/>
          </rPr>
          <t>属“独立完成”不填写本栏目。</t>
        </r>
      </text>
    </comment>
    <comment ref="B134" authorId="0">
      <text>
        <r>
          <rPr>
            <b/>
            <sz val="9"/>
            <rFont val="宋体"/>
            <charset val="134"/>
          </rPr>
          <t>作者:</t>
        </r>
        <r>
          <rPr>
            <sz val="9"/>
            <rFont val="宋体"/>
            <charset val="134"/>
          </rPr>
          <t xml:space="preserve">
请在下拉列表中选择填写内容！</t>
        </r>
      </text>
    </comment>
    <comment ref="I134" authorId="3">
      <text>
        <r>
          <rPr>
            <b/>
            <sz val="9"/>
            <rFont val="宋体"/>
            <charset val="134"/>
          </rPr>
          <t xml:space="preserve">作者:
</t>
        </r>
        <r>
          <rPr>
            <sz val="9"/>
            <rFont val="宋体"/>
            <charset val="134"/>
          </rPr>
          <t>请在下拉列表中选择填写内容！</t>
        </r>
      </text>
    </comment>
    <comment ref="J134" authorId="2">
      <text>
        <r>
          <rPr>
            <b/>
            <sz val="9"/>
            <rFont val="宋体"/>
            <charset val="134"/>
          </rPr>
          <t>作者:
直接填写数字！</t>
        </r>
        <r>
          <rPr>
            <sz val="9"/>
            <rFont val="宋体"/>
            <charset val="134"/>
          </rPr>
          <t>属“独立完成”不填写本栏目。</t>
        </r>
      </text>
    </comment>
    <comment ref="K134" authorId="0">
      <text>
        <r>
          <rPr>
            <b/>
            <sz val="9"/>
            <rFont val="宋体"/>
            <charset val="134"/>
          </rPr>
          <t>作者:
直接填写数字！</t>
        </r>
        <r>
          <rPr>
            <sz val="9"/>
            <rFont val="宋体"/>
            <charset val="134"/>
          </rPr>
          <t>属“独立完成”不填写本栏目。</t>
        </r>
      </text>
    </comment>
    <comment ref="B138" authorId="4">
      <text>
        <r>
          <rPr>
            <b/>
            <sz val="9"/>
            <rFont val="宋体"/>
            <charset val="134"/>
          </rPr>
          <t>Admin:</t>
        </r>
        <r>
          <rPr>
            <sz val="9"/>
            <rFont val="宋体"/>
            <charset val="134"/>
          </rPr>
          <t xml:space="preserve">
请在下拉列表中选择填写内容！
</t>
        </r>
      </text>
    </comment>
    <comment ref="C138" authorId="0">
      <text>
        <r>
          <rPr>
            <b/>
            <sz val="9"/>
            <rFont val="宋体"/>
            <charset val="134"/>
          </rPr>
          <t>作者:</t>
        </r>
        <r>
          <rPr>
            <sz val="9"/>
            <rFont val="宋体"/>
            <charset val="134"/>
          </rPr>
          <t xml:space="preserve">
请在下拉列表中选择填写内容！</t>
        </r>
      </text>
    </comment>
    <comment ref="H138" authorId="1">
      <text>
        <r>
          <rPr>
            <b/>
            <sz val="9"/>
            <rFont val="宋体"/>
            <charset val="134"/>
          </rPr>
          <t>admin:</t>
        </r>
        <r>
          <rPr>
            <sz val="9"/>
            <rFont val="宋体"/>
            <charset val="134"/>
          </rPr>
          <t xml:space="preserve">
请规范填写时间！格式为“1999年10月”
</t>
        </r>
      </text>
    </comment>
    <comment ref="I138" authorId="3">
      <text>
        <r>
          <rPr>
            <b/>
            <sz val="9"/>
            <rFont val="宋体"/>
            <charset val="134"/>
          </rPr>
          <t xml:space="preserve">作者:
</t>
        </r>
        <r>
          <rPr>
            <sz val="9"/>
            <rFont val="宋体"/>
            <charset val="134"/>
          </rPr>
          <t>请在下拉列表中选择填写内容！</t>
        </r>
      </text>
    </comment>
    <comment ref="J138" authorId="0">
      <text>
        <r>
          <rPr>
            <b/>
            <sz val="9"/>
            <rFont val="宋体"/>
            <charset val="134"/>
          </rPr>
          <t>作者:
直接填写数字！</t>
        </r>
        <r>
          <rPr>
            <sz val="9"/>
            <rFont val="宋体"/>
            <charset val="134"/>
          </rPr>
          <t>属“独立完成”不填写本栏目。</t>
        </r>
      </text>
    </comment>
    <comment ref="K138" authorId="0">
      <text>
        <r>
          <rPr>
            <b/>
            <sz val="9"/>
            <rFont val="宋体"/>
            <charset val="134"/>
          </rPr>
          <t>作者:
直接填写数字！</t>
        </r>
        <r>
          <rPr>
            <sz val="9"/>
            <rFont val="宋体"/>
            <charset val="134"/>
          </rPr>
          <t>属“独立完成”不填写本栏目。</t>
        </r>
      </text>
    </comment>
    <comment ref="B139" authorId="4">
      <text>
        <r>
          <rPr>
            <b/>
            <sz val="9"/>
            <rFont val="宋体"/>
            <charset val="134"/>
          </rPr>
          <t>Admin:</t>
        </r>
        <r>
          <rPr>
            <sz val="9"/>
            <rFont val="宋体"/>
            <charset val="134"/>
          </rPr>
          <t xml:space="preserve">
请在下拉列表中选择填写内容！
</t>
        </r>
      </text>
    </comment>
    <comment ref="C139" authorId="0">
      <text>
        <r>
          <rPr>
            <b/>
            <sz val="9"/>
            <rFont val="宋体"/>
            <charset val="134"/>
          </rPr>
          <t>作者:</t>
        </r>
        <r>
          <rPr>
            <sz val="9"/>
            <rFont val="宋体"/>
            <charset val="134"/>
          </rPr>
          <t xml:space="preserve">
请在下拉列表中选择填写内容！</t>
        </r>
      </text>
    </comment>
    <comment ref="I139" authorId="3">
      <text>
        <r>
          <rPr>
            <b/>
            <sz val="9"/>
            <rFont val="宋体"/>
            <charset val="134"/>
          </rPr>
          <t xml:space="preserve">作者:
</t>
        </r>
        <r>
          <rPr>
            <sz val="9"/>
            <rFont val="宋体"/>
            <charset val="134"/>
          </rPr>
          <t>请在下拉列表中选择填写内容！</t>
        </r>
      </text>
    </comment>
    <comment ref="J139" authorId="0">
      <text>
        <r>
          <rPr>
            <b/>
            <sz val="9"/>
            <rFont val="宋体"/>
            <charset val="134"/>
          </rPr>
          <t>作者:
直接填写数字！</t>
        </r>
        <r>
          <rPr>
            <sz val="9"/>
            <rFont val="宋体"/>
            <charset val="134"/>
          </rPr>
          <t>属“独立完成”不填写本栏目。</t>
        </r>
      </text>
    </comment>
    <comment ref="K139" authorId="0">
      <text>
        <r>
          <rPr>
            <b/>
            <sz val="9"/>
            <rFont val="宋体"/>
            <charset val="134"/>
          </rPr>
          <t>作者:
直接填写数字！</t>
        </r>
        <r>
          <rPr>
            <sz val="9"/>
            <rFont val="宋体"/>
            <charset val="134"/>
          </rPr>
          <t>属“独立完成”不填写本栏目。</t>
        </r>
      </text>
    </comment>
    <comment ref="B145" authorId="0">
      <text>
        <r>
          <rPr>
            <b/>
            <sz val="9"/>
            <rFont val="宋体"/>
            <charset val="134"/>
          </rPr>
          <t>作者:</t>
        </r>
        <r>
          <rPr>
            <sz val="9"/>
            <rFont val="宋体"/>
            <charset val="134"/>
          </rPr>
          <t xml:space="preserve">
请在下拉列表中选择填写内容！</t>
        </r>
      </text>
    </comment>
    <comment ref="C145" authorId="4">
      <text>
        <r>
          <rPr>
            <b/>
            <sz val="9"/>
            <rFont val="宋体"/>
            <charset val="134"/>
          </rPr>
          <t>Admin:</t>
        </r>
        <r>
          <rPr>
            <sz val="9"/>
            <rFont val="宋体"/>
            <charset val="134"/>
          </rPr>
          <t xml:space="preserve">
请在下拉列表中选择填写内容！
</t>
        </r>
      </text>
    </comment>
    <comment ref="E145" authorId="0">
      <text>
        <r>
          <rPr>
            <b/>
            <sz val="9"/>
            <rFont val="宋体"/>
            <charset val="134"/>
          </rPr>
          <t>作者:</t>
        </r>
        <r>
          <rPr>
            <sz val="9"/>
            <rFont val="宋体"/>
            <charset val="134"/>
          </rPr>
          <t xml:space="preserve">
请在下拉列表中选择填写内容！</t>
        </r>
      </text>
    </comment>
    <comment ref="I145" authorId="3">
      <text>
        <r>
          <rPr>
            <b/>
            <sz val="9"/>
            <rFont val="宋体"/>
            <charset val="134"/>
          </rPr>
          <t xml:space="preserve">作者:
</t>
        </r>
        <r>
          <rPr>
            <sz val="9"/>
            <rFont val="宋体"/>
            <charset val="134"/>
          </rPr>
          <t>请在下拉列表中选择填写内容！</t>
        </r>
      </text>
    </comment>
    <comment ref="J145" authorId="0">
      <text>
        <r>
          <rPr>
            <b/>
            <sz val="9"/>
            <rFont val="宋体"/>
            <charset val="134"/>
          </rPr>
          <t>作者:
直接填写数字！</t>
        </r>
        <r>
          <rPr>
            <sz val="9"/>
            <rFont val="宋体"/>
            <charset val="134"/>
          </rPr>
          <t>属“独立完成”不填写本栏目。</t>
        </r>
      </text>
    </comment>
    <comment ref="K145" authorId="0">
      <text>
        <r>
          <rPr>
            <b/>
            <sz val="9"/>
            <rFont val="宋体"/>
            <charset val="134"/>
          </rPr>
          <t>作者:
直接填写数字！</t>
        </r>
        <r>
          <rPr>
            <sz val="9"/>
            <rFont val="宋体"/>
            <charset val="134"/>
          </rPr>
          <t>属“独立完成”不填写本栏目。</t>
        </r>
      </text>
    </comment>
    <comment ref="B146" authorId="0">
      <text>
        <r>
          <rPr>
            <b/>
            <sz val="9"/>
            <rFont val="宋体"/>
            <charset val="134"/>
          </rPr>
          <t>作者:</t>
        </r>
        <r>
          <rPr>
            <sz val="9"/>
            <rFont val="宋体"/>
            <charset val="134"/>
          </rPr>
          <t xml:space="preserve">
请在下拉列表中选择填写内容！“示范专业”请选择“品牌专业”。</t>
        </r>
      </text>
    </comment>
    <comment ref="C146" authorId="4">
      <text>
        <r>
          <rPr>
            <b/>
            <sz val="9"/>
            <rFont val="宋体"/>
            <charset val="134"/>
          </rPr>
          <t>Admin:</t>
        </r>
        <r>
          <rPr>
            <sz val="9"/>
            <rFont val="宋体"/>
            <charset val="134"/>
          </rPr>
          <t xml:space="preserve">
请在下拉列表中选择填写内容！
</t>
        </r>
      </text>
    </comment>
    <comment ref="E146" authorId="0">
      <text>
        <r>
          <rPr>
            <b/>
            <sz val="9"/>
            <rFont val="宋体"/>
            <charset val="134"/>
          </rPr>
          <t>作者:</t>
        </r>
        <r>
          <rPr>
            <sz val="9"/>
            <rFont val="宋体"/>
            <charset val="134"/>
          </rPr>
          <t xml:space="preserve">
请在下拉列表中选择填写内容！</t>
        </r>
      </text>
    </comment>
    <comment ref="I146" authorId="3">
      <text>
        <r>
          <rPr>
            <b/>
            <sz val="9"/>
            <rFont val="宋体"/>
            <charset val="134"/>
          </rPr>
          <t xml:space="preserve">作者:
</t>
        </r>
        <r>
          <rPr>
            <sz val="9"/>
            <rFont val="宋体"/>
            <charset val="134"/>
          </rPr>
          <t>请在下拉列表中选择填写内容！</t>
        </r>
      </text>
    </comment>
    <comment ref="J146" authorId="0">
      <text>
        <r>
          <rPr>
            <b/>
            <sz val="9"/>
            <rFont val="宋体"/>
            <charset val="134"/>
          </rPr>
          <t>作者:
直接填写数字！</t>
        </r>
        <r>
          <rPr>
            <sz val="9"/>
            <rFont val="宋体"/>
            <charset val="134"/>
          </rPr>
          <t>属“独立完成”不填写本栏目。</t>
        </r>
      </text>
    </comment>
    <comment ref="K146" authorId="0">
      <text>
        <r>
          <rPr>
            <b/>
            <sz val="9"/>
            <rFont val="宋体"/>
            <charset val="134"/>
          </rPr>
          <t>作者:
直接填写数字！</t>
        </r>
        <r>
          <rPr>
            <sz val="9"/>
            <rFont val="宋体"/>
            <charset val="134"/>
          </rPr>
          <t>属“独立完成”不填写本栏目。</t>
        </r>
      </text>
    </comment>
    <comment ref="B147" authorId="0">
      <text>
        <r>
          <rPr>
            <b/>
            <sz val="9"/>
            <rFont val="宋体"/>
            <charset val="134"/>
          </rPr>
          <t>作者:</t>
        </r>
        <r>
          <rPr>
            <sz val="9"/>
            <rFont val="宋体"/>
            <charset val="134"/>
          </rPr>
          <t xml:space="preserve">
请在下拉列表中选择填写内容！“示范专业”请选择“品牌专业”。</t>
        </r>
      </text>
    </comment>
    <comment ref="C147" authorId="4">
      <text>
        <r>
          <rPr>
            <b/>
            <sz val="9"/>
            <rFont val="宋体"/>
            <charset val="134"/>
          </rPr>
          <t>Admin:</t>
        </r>
        <r>
          <rPr>
            <sz val="9"/>
            <rFont val="宋体"/>
            <charset val="134"/>
          </rPr>
          <t xml:space="preserve">
请在下拉列表中选择填写内容！
</t>
        </r>
      </text>
    </comment>
    <comment ref="E147" authorId="0">
      <text>
        <r>
          <rPr>
            <b/>
            <sz val="9"/>
            <rFont val="宋体"/>
            <charset val="134"/>
          </rPr>
          <t>作者:</t>
        </r>
        <r>
          <rPr>
            <sz val="9"/>
            <rFont val="宋体"/>
            <charset val="134"/>
          </rPr>
          <t xml:space="preserve">
请在下拉列表中选择填写内容！</t>
        </r>
      </text>
    </comment>
    <comment ref="I147" authorId="3">
      <text>
        <r>
          <rPr>
            <b/>
            <sz val="9"/>
            <rFont val="宋体"/>
            <charset val="134"/>
          </rPr>
          <t xml:space="preserve">作者:
</t>
        </r>
        <r>
          <rPr>
            <sz val="9"/>
            <rFont val="宋体"/>
            <charset val="134"/>
          </rPr>
          <t>请在下拉列表中选择填写内容！</t>
        </r>
      </text>
    </comment>
    <comment ref="J147" authorId="0">
      <text>
        <r>
          <rPr>
            <b/>
            <sz val="9"/>
            <rFont val="宋体"/>
            <charset val="134"/>
          </rPr>
          <t>作者:
直接填写数字！</t>
        </r>
        <r>
          <rPr>
            <sz val="9"/>
            <rFont val="宋体"/>
            <charset val="134"/>
          </rPr>
          <t>属“独立完成”不填写本栏目。</t>
        </r>
      </text>
    </comment>
    <comment ref="K147" authorId="0">
      <text>
        <r>
          <rPr>
            <b/>
            <sz val="9"/>
            <rFont val="宋体"/>
            <charset val="134"/>
          </rPr>
          <t>作者:
直接填写数字！</t>
        </r>
        <r>
          <rPr>
            <sz val="9"/>
            <rFont val="宋体"/>
            <charset val="134"/>
          </rPr>
          <t>属“独立完成”不填写本栏目。</t>
        </r>
      </text>
    </comment>
    <comment ref="B151" authorId="0">
      <text>
        <r>
          <rPr>
            <b/>
            <sz val="9"/>
            <rFont val="宋体"/>
            <charset val="134"/>
          </rPr>
          <t>作者:</t>
        </r>
        <r>
          <rPr>
            <sz val="9"/>
            <rFont val="宋体"/>
            <charset val="134"/>
          </rPr>
          <t xml:space="preserve">
请在下拉列表中选择填写内容！</t>
        </r>
      </text>
    </comment>
    <comment ref="C151" authorId="0">
      <text>
        <r>
          <rPr>
            <b/>
            <sz val="9"/>
            <rFont val="宋体"/>
            <charset val="134"/>
          </rPr>
          <t>作者:</t>
        </r>
        <r>
          <rPr>
            <sz val="9"/>
            <rFont val="宋体"/>
            <charset val="134"/>
          </rPr>
          <t xml:space="preserve">
请在下拉列表中选择填写内容！</t>
        </r>
      </text>
    </comment>
    <comment ref="E151" authorId="1">
      <text>
        <r>
          <rPr>
            <b/>
            <sz val="9"/>
            <rFont val="宋体"/>
            <charset val="134"/>
          </rPr>
          <t>admin:</t>
        </r>
        <r>
          <rPr>
            <sz val="9"/>
            <rFont val="宋体"/>
            <charset val="134"/>
          </rPr>
          <t xml:space="preserve">
请规范填写时间！格式为“1999年10月”
</t>
        </r>
      </text>
    </comment>
    <comment ref="I151" authorId="3">
      <text>
        <r>
          <rPr>
            <b/>
            <sz val="9"/>
            <rFont val="宋体"/>
            <charset val="134"/>
          </rPr>
          <t xml:space="preserve">作者:
</t>
        </r>
        <r>
          <rPr>
            <sz val="9"/>
            <rFont val="宋体"/>
            <charset val="134"/>
          </rPr>
          <t>请在下拉列表中选择填写内容！</t>
        </r>
      </text>
    </comment>
    <comment ref="B152" authorId="0">
      <text>
        <r>
          <rPr>
            <b/>
            <sz val="9"/>
            <rFont val="宋体"/>
            <charset val="134"/>
          </rPr>
          <t>作者:</t>
        </r>
        <r>
          <rPr>
            <sz val="9"/>
            <rFont val="宋体"/>
            <charset val="134"/>
          </rPr>
          <t xml:space="preserve">
请在下拉列表中选择填写内容！</t>
        </r>
      </text>
    </comment>
    <comment ref="C152" authorId="0">
      <text>
        <r>
          <rPr>
            <b/>
            <sz val="9"/>
            <rFont val="宋体"/>
            <charset val="134"/>
          </rPr>
          <t>作者:</t>
        </r>
        <r>
          <rPr>
            <sz val="9"/>
            <rFont val="宋体"/>
            <charset val="134"/>
          </rPr>
          <t xml:space="preserve">
请在下拉列表中选择填写内容！</t>
        </r>
      </text>
    </comment>
    <comment ref="I152" authorId="3">
      <text>
        <r>
          <rPr>
            <b/>
            <sz val="9"/>
            <rFont val="宋体"/>
            <charset val="134"/>
          </rPr>
          <t xml:space="preserve">作者:
</t>
        </r>
        <r>
          <rPr>
            <sz val="9"/>
            <rFont val="宋体"/>
            <charset val="134"/>
          </rPr>
          <t>请在下拉列表中选择填写内容！</t>
        </r>
      </text>
    </comment>
    <comment ref="J152" authorId="2">
      <text>
        <r>
          <rPr>
            <b/>
            <sz val="9"/>
            <rFont val="宋体"/>
            <charset val="134"/>
          </rPr>
          <t>作者:
直接填写数字！</t>
        </r>
        <r>
          <rPr>
            <sz val="9"/>
            <rFont val="宋体"/>
            <charset val="134"/>
          </rPr>
          <t>属“独立完成”不填写本栏目。</t>
        </r>
      </text>
    </comment>
    <comment ref="K152" authorId="0">
      <text>
        <r>
          <rPr>
            <b/>
            <sz val="9"/>
            <rFont val="宋体"/>
            <charset val="134"/>
          </rPr>
          <t>作者:
直接填写数字！</t>
        </r>
        <r>
          <rPr>
            <sz val="9"/>
            <rFont val="宋体"/>
            <charset val="134"/>
          </rPr>
          <t>属“独立完成”不填写本栏目。</t>
        </r>
      </text>
    </comment>
    <comment ref="B156" authorId="0">
      <text>
        <r>
          <rPr>
            <b/>
            <sz val="9"/>
            <rFont val="宋体"/>
            <charset val="134"/>
          </rPr>
          <t>作者:</t>
        </r>
        <r>
          <rPr>
            <sz val="9"/>
            <rFont val="宋体"/>
            <charset val="134"/>
          </rPr>
          <t xml:space="preserve">
请在下拉列表中选择填写内容！</t>
        </r>
      </text>
    </comment>
    <comment ref="C156" authorId="4">
      <text>
        <r>
          <rPr>
            <b/>
            <sz val="9"/>
            <rFont val="宋体"/>
            <charset val="134"/>
          </rPr>
          <t>Admin:</t>
        </r>
        <r>
          <rPr>
            <sz val="9"/>
            <rFont val="宋体"/>
            <charset val="134"/>
          </rPr>
          <t xml:space="preserve">
请在下拉列表中选择填写内容！
</t>
        </r>
      </text>
    </comment>
    <comment ref="E156" authorId="0">
      <text>
        <r>
          <rPr>
            <b/>
            <sz val="9"/>
            <rFont val="宋体"/>
            <charset val="134"/>
          </rPr>
          <t>作者:</t>
        </r>
        <r>
          <rPr>
            <sz val="9"/>
            <rFont val="宋体"/>
            <charset val="134"/>
          </rPr>
          <t xml:space="preserve">
请在下拉列表中选择填写内容！</t>
        </r>
      </text>
    </comment>
    <comment ref="I156" authorId="3">
      <text>
        <r>
          <rPr>
            <b/>
            <sz val="9"/>
            <rFont val="宋体"/>
            <charset val="134"/>
          </rPr>
          <t xml:space="preserve">作者:
</t>
        </r>
        <r>
          <rPr>
            <sz val="9"/>
            <rFont val="宋体"/>
            <charset val="134"/>
          </rPr>
          <t>请在下拉列表中选择填写内容！</t>
        </r>
      </text>
    </comment>
    <comment ref="J156" authorId="0">
      <text>
        <r>
          <rPr>
            <b/>
            <sz val="9"/>
            <rFont val="宋体"/>
            <charset val="134"/>
          </rPr>
          <t>作者:
直接填写数字！</t>
        </r>
        <r>
          <rPr>
            <sz val="9"/>
            <rFont val="宋体"/>
            <charset val="134"/>
          </rPr>
          <t>属“独立完成”不填写本栏目。</t>
        </r>
      </text>
    </comment>
    <comment ref="K156" authorId="0">
      <text>
        <r>
          <rPr>
            <b/>
            <sz val="9"/>
            <rFont val="宋体"/>
            <charset val="134"/>
          </rPr>
          <t>作者:
直接填写数字！</t>
        </r>
        <r>
          <rPr>
            <sz val="9"/>
            <rFont val="宋体"/>
            <charset val="134"/>
          </rPr>
          <t>属“独立完成”不填写本栏目。</t>
        </r>
      </text>
    </comment>
    <comment ref="B158" authorId="0">
      <text>
        <r>
          <rPr>
            <b/>
            <sz val="9"/>
            <rFont val="宋体"/>
            <charset val="134"/>
          </rPr>
          <t>作者:</t>
        </r>
        <r>
          <rPr>
            <sz val="9"/>
            <rFont val="宋体"/>
            <charset val="134"/>
          </rPr>
          <t xml:space="preserve">
请在下拉列表中选择填写内容！“示范专业”请选择“品牌专业”。</t>
        </r>
      </text>
    </comment>
    <comment ref="C158" authorId="4">
      <text>
        <r>
          <rPr>
            <b/>
            <sz val="9"/>
            <rFont val="宋体"/>
            <charset val="134"/>
          </rPr>
          <t>Admin:</t>
        </r>
        <r>
          <rPr>
            <sz val="9"/>
            <rFont val="宋体"/>
            <charset val="134"/>
          </rPr>
          <t xml:space="preserve">
请在下拉列表中选择填写内容！
</t>
        </r>
      </text>
    </comment>
    <comment ref="E158" authorId="0">
      <text>
        <r>
          <rPr>
            <b/>
            <sz val="9"/>
            <rFont val="宋体"/>
            <charset val="134"/>
          </rPr>
          <t>作者:</t>
        </r>
        <r>
          <rPr>
            <sz val="9"/>
            <rFont val="宋体"/>
            <charset val="134"/>
          </rPr>
          <t xml:space="preserve">
请在下拉列表中选择填写内容！</t>
        </r>
      </text>
    </comment>
    <comment ref="I158" authorId="3">
      <text>
        <r>
          <rPr>
            <b/>
            <sz val="9"/>
            <rFont val="宋体"/>
            <charset val="134"/>
          </rPr>
          <t xml:space="preserve">作者:
</t>
        </r>
        <r>
          <rPr>
            <sz val="9"/>
            <rFont val="宋体"/>
            <charset val="134"/>
          </rPr>
          <t>请在下拉列表中选择填写内容！</t>
        </r>
      </text>
    </comment>
    <comment ref="J158" authorId="0">
      <text>
        <r>
          <rPr>
            <b/>
            <sz val="9"/>
            <rFont val="宋体"/>
            <charset val="134"/>
          </rPr>
          <t>作者:
直接填写数字！</t>
        </r>
        <r>
          <rPr>
            <sz val="9"/>
            <rFont val="宋体"/>
            <charset val="134"/>
          </rPr>
          <t>属“独立完成”不填写本栏目。</t>
        </r>
      </text>
    </comment>
    <comment ref="K158" authorId="0">
      <text>
        <r>
          <rPr>
            <b/>
            <sz val="9"/>
            <rFont val="宋体"/>
            <charset val="134"/>
          </rPr>
          <t>作者:
直接填写数字！</t>
        </r>
        <r>
          <rPr>
            <sz val="9"/>
            <rFont val="宋体"/>
            <charset val="134"/>
          </rPr>
          <t>属“独立完成”不填写本栏目。</t>
        </r>
      </text>
    </comment>
  </commentList>
</comments>
</file>

<file path=xl/sharedStrings.xml><?xml version="1.0" encoding="utf-8"?>
<sst xmlns="http://schemas.openxmlformats.org/spreadsheetml/2006/main" count="624" uniqueCount="380">
  <si>
    <t>填表说明：</t>
  </si>
  <si>
    <t>1.本表由本人填写，所在部门（单位）审核。</t>
  </si>
  <si>
    <t>2.填表前请认真阅读填表说明及相关文件，由前至后，严格按照提示，认真如实填写！</t>
  </si>
  <si>
    <t>3.填写完毕后请使用A4纸单面打印。</t>
  </si>
  <si>
    <t>4.本表中所有成果须为取得中级专业技术职务以来的成果。成果认定截止时间按照相关文件规定。</t>
  </si>
  <si>
    <r>
      <rPr>
        <sz val="11"/>
        <color indexed="9"/>
        <rFont val="宋体"/>
        <charset val="134"/>
      </rPr>
      <t>5.表中所有涉及年月项目必须采用“</t>
    </r>
    <r>
      <rPr>
        <sz val="11"/>
        <color indexed="10"/>
        <rFont val="宋体"/>
        <charset val="134"/>
      </rPr>
      <t>XXXX年X月</t>
    </r>
    <r>
      <rPr>
        <sz val="11"/>
        <color indexed="9"/>
        <rFont val="宋体"/>
        <charset val="134"/>
      </rPr>
      <t>”的格式进行填写。</t>
    </r>
  </si>
  <si>
    <t>大连职业技术学院（大连开放大学）
专业技术职称评审量化赋分认定表</t>
  </si>
  <si>
    <t>年度</t>
  </si>
  <si>
    <t>部门（单位）:</t>
  </si>
  <si>
    <t>姓        名:</t>
  </si>
  <si>
    <t>现专业技术职称:</t>
  </si>
  <si>
    <t>现专业技术层级:</t>
  </si>
  <si>
    <t>中级</t>
  </si>
  <si>
    <t>申报评审系列:</t>
  </si>
  <si>
    <t>公共基础课教师</t>
  </si>
  <si>
    <t>申报专业技术职称:</t>
  </si>
  <si>
    <t>副教授</t>
  </si>
  <si>
    <t>填 表 时 间:</t>
  </si>
  <si>
    <t>教师发展中心制</t>
  </si>
  <si>
    <t>姓 名</t>
  </si>
  <si>
    <t>性 别</t>
  </si>
  <si>
    <t>出生日期</t>
  </si>
  <si>
    <t>年龄</t>
  </si>
  <si>
    <t>最后学位（学历）</t>
  </si>
  <si>
    <t>最高学位（学历）
专业</t>
  </si>
  <si>
    <t>学位（学历）授予单位</t>
  </si>
  <si>
    <t>学历（位）及取得时间</t>
  </si>
  <si>
    <t>中级职称取得年限</t>
  </si>
  <si>
    <t>最高学位（学历）取得时间</t>
  </si>
  <si>
    <t>最高学位（学历）
取得年限</t>
  </si>
  <si>
    <t>部门（单位）</t>
  </si>
  <si>
    <t>现任专业技术职称</t>
  </si>
  <si>
    <t>中级职称取得时间</t>
  </si>
  <si>
    <t>现工作岗位</t>
  </si>
  <si>
    <t>岗位属性</t>
  </si>
  <si>
    <t>一、教育教学工作经历</t>
  </si>
  <si>
    <t>班导师工作</t>
  </si>
  <si>
    <t>指导班级</t>
  </si>
  <si>
    <t>指导时间</t>
  </si>
  <si>
    <t>认定结果</t>
  </si>
  <si>
    <t>认定人</t>
  </si>
  <si>
    <t>近三年教师教学
综合评价</t>
  </si>
  <si>
    <t>A档数量</t>
  </si>
  <si>
    <t>B档数量</t>
  </si>
  <si>
    <t>C档数量</t>
  </si>
  <si>
    <t>D档数量</t>
  </si>
  <si>
    <t>近五年来独立
承担的教学任务</t>
  </si>
  <si>
    <t>课程名称</t>
  </si>
  <si>
    <t>授课学期</t>
  </si>
  <si>
    <t>授课班级</t>
  </si>
  <si>
    <t>授课门数</t>
  </si>
  <si>
    <t>职业教育
教学工作量
（学时）</t>
  </si>
  <si>
    <t>年均
工作量</t>
  </si>
  <si>
    <t>工作量得分</t>
  </si>
  <si>
    <t>工作量是否满足必备条件</t>
  </si>
  <si>
    <t>开放教育
教学工作量
（学时）</t>
  </si>
  <si>
    <t>企业实践
（天）</t>
  </si>
  <si>
    <t>合计</t>
  </si>
  <si>
    <t>企业实践得分</t>
  </si>
  <si>
    <t>企业实践是否满足必备条件</t>
  </si>
  <si>
    <t>近三年继续教育
（培训进修）</t>
  </si>
  <si>
    <t>类别</t>
  </si>
  <si>
    <t>起止时间</t>
  </si>
  <si>
    <t>参加培训名称</t>
  </si>
  <si>
    <t>培训地点</t>
  </si>
  <si>
    <t>培训学时</t>
  </si>
  <si>
    <t>培训基础分数</t>
  </si>
  <si>
    <t>培训加分</t>
  </si>
  <si>
    <t>国培次数</t>
  </si>
  <si>
    <t>境外线上线下培训次数</t>
  </si>
  <si>
    <t>近五年
承担培训任务</t>
  </si>
  <si>
    <t>培训时间</t>
  </si>
  <si>
    <t>培训项目名称</t>
  </si>
  <si>
    <t>主要承担的培训内容</t>
  </si>
  <si>
    <t>培训对象</t>
  </si>
  <si>
    <t>培训人数</t>
  </si>
  <si>
    <t>培训任务得分</t>
  </si>
  <si>
    <t>二、教学教研业绩成果</t>
  </si>
  <si>
    <t>1-1：任中级职称以来学术论文情况</t>
  </si>
  <si>
    <t>刊物级别</t>
  </si>
  <si>
    <t>论文或文章名称</t>
  </si>
  <si>
    <t>发表刊物</t>
  </si>
  <si>
    <t>学校署名</t>
  </si>
  <si>
    <t>完成情况</t>
  </si>
  <si>
    <t>合作人数</t>
  </si>
  <si>
    <t>本人排序</t>
  </si>
  <si>
    <t>权重系数</t>
  </si>
  <si>
    <t>量化得分</t>
  </si>
  <si>
    <t>合作系数</t>
  </si>
  <si>
    <t>JA三大检索得分</t>
  </si>
  <si>
    <t>中文核心期刊得分</t>
  </si>
  <si>
    <t>CA三大检索得分</t>
  </si>
  <si>
    <t>一般期刊、外文期刊</t>
  </si>
  <si>
    <t>国际学术会议论文集</t>
  </si>
  <si>
    <t>国家级重要报刊</t>
  </si>
  <si>
    <t>省级重要报刊理论版</t>
  </si>
  <si>
    <t>市级重要报刊</t>
  </si>
  <si>
    <t>综合</t>
  </si>
  <si>
    <t>第一作者领先级论文数量</t>
  </si>
  <si>
    <t>第一作者论文数量</t>
  </si>
  <si>
    <t>1-2：任中级职称以来的著作、教材及教学（实验）标准情况</t>
  </si>
  <si>
    <t>项目类别</t>
  </si>
  <si>
    <t>成果名称</t>
  </si>
  <si>
    <t>出版社</t>
  </si>
  <si>
    <t>是否再版</t>
  </si>
  <si>
    <t>出版时间</t>
  </si>
  <si>
    <t>编写字数
(万字)</t>
  </si>
  <si>
    <t>排名次序</t>
  </si>
  <si>
    <t>系数</t>
  </si>
  <si>
    <t>每万字分值</t>
  </si>
  <si>
    <t>再版系数</t>
  </si>
  <si>
    <t>普通教材</t>
  </si>
  <si>
    <t>省级规划教材</t>
  </si>
  <si>
    <t>国家级规划教材</t>
  </si>
  <si>
    <t>编著、译著</t>
  </si>
  <si>
    <t>学术专著</t>
  </si>
  <si>
    <t>校本教材、实训指导书</t>
  </si>
  <si>
    <t>国家级标准</t>
  </si>
  <si>
    <t>省部级（行业）标准</t>
  </si>
  <si>
    <t>市级（地方）标准</t>
  </si>
  <si>
    <t>满足主编及字数的数量</t>
  </si>
  <si>
    <t>满足参编数量</t>
  </si>
  <si>
    <t>2-1：任中级职称以来教科研项目或教育教学改革项目情况</t>
  </si>
  <si>
    <t>项目级别</t>
  </si>
  <si>
    <t>名称</t>
  </si>
  <si>
    <t>立项机构</t>
  </si>
  <si>
    <t>经费(万元)</t>
  </si>
  <si>
    <t>项目分值</t>
  </si>
  <si>
    <t>横向经费加分</t>
  </si>
  <si>
    <t>横向经费上限分</t>
  </si>
  <si>
    <t>国家级课题项目</t>
  </si>
  <si>
    <t>省级课题项目</t>
  </si>
  <si>
    <t>市级课题项目</t>
  </si>
  <si>
    <t>校级课题项目</t>
  </si>
  <si>
    <t>横向课题项目</t>
  </si>
  <si>
    <t>市级以上课题主持次数</t>
  </si>
  <si>
    <t>前两名参与省级以上课题数量</t>
  </si>
  <si>
    <t>2-2：任中级职称以来获得的教科研成果奖或教学类奖项情况</t>
  </si>
  <si>
    <t>奖项类别</t>
  </si>
  <si>
    <t>获奖级别</t>
  </si>
  <si>
    <t>奖励部门</t>
  </si>
  <si>
    <t>市级分值</t>
  </si>
  <si>
    <t>校级分值</t>
  </si>
  <si>
    <t>国家级分值</t>
  </si>
  <si>
    <t>国开等级分值</t>
  </si>
  <si>
    <t>省级分值</t>
  </si>
  <si>
    <t>主持并获得校级以上次数</t>
  </si>
  <si>
    <t>前两名参与获得市级及以上次数</t>
  </si>
  <si>
    <t>2-3：任中级职称以来完成横向技术项目情况</t>
  </si>
  <si>
    <t>服务对象</t>
  </si>
  <si>
    <t>3-1：任中职称以来的创新教学团队建设情况</t>
  </si>
  <si>
    <t>分项</t>
  </si>
  <si>
    <t>级别</t>
  </si>
  <si>
    <t>颁发部门机构</t>
  </si>
  <si>
    <t>教学、科研团队分值</t>
  </si>
  <si>
    <t>主持团队建设数量</t>
  </si>
  <si>
    <t>前2参与校级以上团队数量</t>
  </si>
  <si>
    <t>团队建设合作系数</t>
  </si>
  <si>
    <t>其他荣誉合作系数</t>
  </si>
  <si>
    <t>3-2：任中职称以来指导青年教师情况</t>
  </si>
  <si>
    <t>培养其它层级教师</t>
  </si>
  <si>
    <t>培养对象
姓名</t>
  </si>
  <si>
    <t>培养时间</t>
  </si>
  <si>
    <t>开始培养时
培养对象职称</t>
  </si>
  <si>
    <t>开始培养时
培养对象年龄</t>
  </si>
  <si>
    <t>培养对象工作岗位</t>
  </si>
  <si>
    <t>培养人数</t>
  </si>
  <si>
    <t>3-3：任中职称以来所指导青年教师获得荣誉、成果情况</t>
  </si>
  <si>
    <t>排序</t>
  </si>
  <si>
    <t>被培养人分值1</t>
  </si>
  <si>
    <t>被培养人分值2</t>
  </si>
  <si>
    <t>培养对象符合条件数量</t>
  </si>
  <si>
    <t>4：任中级职称以来本人参加教学能力大赛、专业竞赛或本领域相关比赛获奖情况</t>
  </si>
  <si>
    <t>获奖等级</t>
  </si>
  <si>
    <t>获奖时间</t>
  </si>
  <si>
    <t>满足条件数量</t>
  </si>
  <si>
    <t>5：任中级职称以来的项目设计能力</t>
  </si>
  <si>
    <t>能力类别</t>
  </si>
  <si>
    <t>项目名称</t>
  </si>
  <si>
    <t>认定单位</t>
  </si>
  <si>
    <t>实训项目分值</t>
  </si>
  <si>
    <t>创新创业分值</t>
  </si>
  <si>
    <t>满足必备条件数量</t>
  </si>
  <si>
    <t>6：任中级职称以来的分析、研究能力(专项技术分析报告或重大项目可行性研究报告)</t>
  </si>
  <si>
    <t>报告名称</t>
  </si>
  <si>
    <t>认定单位(批示领导）</t>
  </si>
  <si>
    <t>报告分值</t>
  </si>
  <si>
    <t>7：任中级职称以来发明专利情况</t>
  </si>
  <si>
    <t>专利类别</t>
  </si>
  <si>
    <t>颁发机构</t>
  </si>
  <si>
    <t>分值</t>
  </si>
  <si>
    <t>外观设计专利</t>
  </si>
  <si>
    <t>软件著作权登记</t>
  </si>
  <si>
    <t>实用新型专利</t>
  </si>
  <si>
    <t>发明专利</t>
  </si>
  <si>
    <t>第一人发明数量</t>
  </si>
  <si>
    <t>第一人实用新型数量</t>
  </si>
  <si>
    <t>8：任中级职称以来指导学生参加基础教学类大赛、创新创业竞赛或本领域相关比赛获奖情况</t>
  </si>
  <si>
    <t>世界级分值</t>
  </si>
  <si>
    <t>9：任中级职称以来课程建设情况</t>
  </si>
  <si>
    <t>课程建设分值</t>
  </si>
  <si>
    <t>课程合作系数</t>
  </si>
  <si>
    <t>主持校级以上主干课数量</t>
  </si>
  <si>
    <t>前2参与国家精品课数量</t>
  </si>
  <si>
    <t>10：“双师”素质（取得非教师系列相关专业的高级专业技术任职资格证书或相关岗位的高级职业技能资格证书）</t>
  </si>
  <si>
    <t>证书类别</t>
  </si>
  <si>
    <t>取得时间</t>
  </si>
  <si>
    <t>专业（职业）名称</t>
  </si>
  <si>
    <t>授予部门（机构）</t>
  </si>
  <si>
    <t>高级分值</t>
  </si>
  <si>
    <t>中级分值</t>
  </si>
  <si>
    <t>初级分值</t>
  </si>
  <si>
    <t>无等级分值</t>
  </si>
  <si>
    <t>三、其他成绩附加项</t>
  </si>
  <si>
    <t>品牌双高卓越专业分值</t>
  </si>
  <si>
    <t>五星专业分值</t>
  </si>
  <si>
    <t>四星专业分值</t>
  </si>
  <si>
    <t>学徒制、1+X 考点分值</t>
  </si>
  <si>
    <t>主持资源库建设分值</t>
  </si>
  <si>
    <t>参与资源库建设分值</t>
  </si>
  <si>
    <t>专业、其他合作系数</t>
  </si>
  <si>
    <t>文化建设项目分值</t>
  </si>
  <si>
    <t>产教融合项目分值</t>
  </si>
  <si>
    <t>辅导员名师分值</t>
  </si>
  <si>
    <t>教学名师分值</t>
  </si>
  <si>
    <t>专业、学术带头人分值</t>
  </si>
  <si>
    <t>骨干分值</t>
  </si>
  <si>
    <t>学生团体荣誉分值</t>
  </si>
  <si>
    <t>技能大师分值</t>
  </si>
  <si>
    <t>社团指导教师分值</t>
  </si>
  <si>
    <t>党组织、其他团体分值</t>
  </si>
  <si>
    <t>教师党支部书记分值</t>
  </si>
  <si>
    <t>党务、其他工作项目荣誉分值</t>
  </si>
  <si>
    <t>专业技术职称评审量化赋分结果汇总</t>
  </si>
  <si>
    <t>基本条件</t>
  </si>
  <si>
    <t>学历（位）得分</t>
  </si>
  <si>
    <t>是否满足必备条件</t>
  </si>
  <si>
    <t>中级职称取得年限分</t>
  </si>
  <si>
    <t>基本条件得分合计</t>
  </si>
  <si>
    <t>教育教学
工作经历</t>
  </si>
  <si>
    <t>班导师工作得分</t>
  </si>
  <si>
    <t>班导师是否
满足必备条件</t>
  </si>
  <si>
    <t>教师教学综合评价得分</t>
  </si>
  <si>
    <t>综合评价是否
满足必备条件</t>
  </si>
  <si>
    <t>授课门数
是否满足必备条件</t>
  </si>
  <si>
    <t>教学工作量得分</t>
  </si>
  <si>
    <t>工作量是否
满足必备条件</t>
  </si>
  <si>
    <t>继续教育
（培训进修）得分</t>
  </si>
  <si>
    <t>继续教育
是否满足必备条件</t>
  </si>
  <si>
    <t>教育教学工作经历
得分合计</t>
  </si>
  <si>
    <t>教学教研
业绩成果</t>
  </si>
  <si>
    <t>学术论文得分</t>
  </si>
  <si>
    <t>著作、教材
得分</t>
  </si>
  <si>
    <t>论文及著作、教材是否满足必备条件</t>
  </si>
  <si>
    <t>教科研项目或教育教学改革项目得分</t>
  </si>
  <si>
    <t>教科研成果奖或教学类奖项得分</t>
  </si>
  <si>
    <t>横向技术项目
得分</t>
  </si>
  <si>
    <t>教改（教科研）项目或教学类奖项是否满足必备条件</t>
  </si>
  <si>
    <t>创新教学团队
建设得分</t>
  </si>
  <si>
    <t>师资培养得分</t>
  </si>
  <si>
    <t>指导青年教师获得荣誉、成果得分</t>
  </si>
  <si>
    <t>教学团队建设和师资培养
是否满足必备条件</t>
  </si>
  <si>
    <t>本人参赛获奖得分</t>
  </si>
  <si>
    <t>本人参赛获奖
是否满足必备条件</t>
  </si>
  <si>
    <t>项目设计能力
得分</t>
  </si>
  <si>
    <t>项目设计能力
是否满足必备条件</t>
  </si>
  <si>
    <t>分析、研究能力得分</t>
  </si>
  <si>
    <t>分析、研究能力
是否满足必备条件</t>
  </si>
  <si>
    <t>发明专利得分</t>
  </si>
  <si>
    <t>发明专利
是否满足必备条件</t>
  </si>
  <si>
    <t>课程建设得分</t>
  </si>
  <si>
    <t>指导学生参赛
得分</t>
  </si>
  <si>
    <t>指导学生参赛是否满足必备条件</t>
  </si>
  <si>
    <t>“双师”素质得分</t>
  </si>
  <si>
    <t>教学教研业绩成果
得分合计</t>
  </si>
  <si>
    <t>结果汇总</t>
  </si>
  <si>
    <t>基本条件
得分合计</t>
  </si>
  <si>
    <t>其他成绩附加
得分合计</t>
  </si>
  <si>
    <t>必备项是否满足</t>
  </si>
  <si>
    <t>可选必备项
满足项数量</t>
  </si>
  <si>
    <t>必备项不满足数量</t>
  </si>
  <si>
    <t>必备项满足数量</t>
  </si>
  <si>
    <t>可选必备项满足数量</t>
  </si>
  <si>
    <t>不满足条件情况数量</t>
  </si>
  <si>
    <t>是否具备申报资格</t>
  </si>
  <si>
    <t>总计得分：</t>
  </si>
  <si>
    <t>本人承诺</t>
  </si>
  <si>
    <t xml:space="preserve">       
        所填内容属实，如有虚报，本人愿承担所有后果。
                                     本  人（签名）：              年    月     日        </t>
  </si>
  <si>
    <t>所在部门（单位）审核意见</t>
  </si>
  <si>
    <t xml:space="preserve">        
        经查，该同志所填内容属实，佐证材料完备，同意申报。
         负责人（签名）：               公章
                                                                  年    月     日</t>
  </si>
  <si>
    <t>学校专业技术岗位等级晋升工作领导小组意见</t>
  </si>
  <si>
    <t xml:space="preserve">        负责人（签名）：               公章
                                                                  年    月     日</t>
  </si>
  <si>
    <t>大连职业技术学院（大连开放大学）专业技术职称评审量化赋分认定表（ 2023 年度）</t>
  </si>
  <si>
    <t>序号</t>
  </si>
  <si>
    <t>姓名</t>
  </si>
  <si>
    <t>性别</t>
  </si>
  <si>
    <t>现专业技术职称情况</t>
  </si>
  <si>
    <t>申报专业技术职称</t>
  </si>
  <si>
    <t>量化赋分结果汇总</t>
  </si>
  <si>
    <t>总计得分</t>
  </si>
  <si>
    <t>项目设计能力</t>
  </si>
  <si>
    <t>产教融合能力</t>
  </si>
  <si>
    <t>其他成绩附加</t>
  </si>
  <si>
    <t>服务专业领域</t>
  </si>
  <si>
    <t>服务行业企业</t>
  </si>
  <si>
    <t>实训项目</t>
  </si>
  <si>
    <t>产教融合项目</t>
  </si>
  <si>
    <t>个人荣誉</t>
  </si>
  <si>
    <t>国家级</t>
  </si>
  <si>
    <t>大型企业</t>
  </si>
  <si>
    <t>创新创业项目</t>
  </si>
  <si>
    <t>团体荣誉</t>
  </si>
  <si>
    <t>省级</t>
  </si>
  <si>
    <t>国家级行业协会</t>
  </si>
  <si>
    <t>工作项目荣誉</t>
  </si>
  <si>
    <t>市级</t>
  </si>
  <si>
    <t>中型企业</t>
  </si>
  <si>
    <t>素质教育类社团指导</t>
  </si>
  <si>
    <t>校级</t>
  </si>
  <si>
    <t>省级行业协会</t>
  </si>
  <si>
    <t>小型企业</t>
  </si>
  <si>
    <t>市级行业协会</t>
  </si>
  <si>
    <t>微型企业</t>
  </si>
  <si>
    <r>
      <rPr>
        <sz val="14"/>
        <rFont val="宋体"/>
        <charset val="134"/>
      </rPr>
      <t>学术论文或文章发表</t>
    </r>
  </si>
  <si>
    <t>著作、教材及教学（实验）标准</t>
  </si>
  <si>
    <t>教科研、党建、统战课题项目</t>
  </si>
  <si>
    <t>项目类型</t>
  </si>
  <si>
    <t>本人比赛获奖级别</t>
  </si>
  <si>
    <t>指导学生比赛获奖</t>
  </si>
  <si>
    <t>专业建设</t>
  </si>
  <si>
    <t>课程建设</t>
  </si>
  <si>
    <t>团队建设</t>
  </si>
  <si>
    <t>文化建设项目</t>
  </si>
  <si>
    <t>其他建设项目</t>
  </si>
  <si>
    <r>
      <rPr>
        <sz val="10.5"/>
        <rFont val="宋体"/>
        <charset val="134"/>
      </rPr>
      <t>工作项目荣誉</t>
    </r>
  </si>
  <si>
    <t>JA三大检索</t>
  </si>
  <si>
    <r>
      <rPr>
        <sz val="10.5"/>
        <rFont val="宋体"/>
        <charset val="134"/>
      </rPr>
      <t>普通教材</t>
    </r>
  </si>
  <si>
    <t>国家级成果奖</t>
  </si>
  <si>
    <t>世界技能大赛</t>
  </si>
  <si>
    <t>品牌（示范）专业</t>
  </si>
  <si>
    <t>课程案例</t>
  </si>
  <si>
    <t>教学团队</t>
  </si>
  <si>
    <t>教学名师</t>
  </si>
  <si>
    <t>学生团体荣誉</t>
  </si>
  <si>
    <t>文化建设</t>
  </si>
  <si>
    <t>实训项目建设</t>
  </si>
  <si>
    <t>教师党支部书记</t>
  </si>
  <si>
    <r>
      <rPr>
        <sz val="10.5"/>
        <rFont val="宋体"/>
        <charset val="134"/>
      </rPr>
      <t>社团指导教师</t>
    </r>
  </si>
  <si>
    <t>中文核心期刊</t>
  </si>
  <si>
    <r>
      <rPr>
        <sz val="10.5"/>
        <rFont val="宋体"/>
        <charset val="134"/>
      </rPr>
      <t>省级规划教材</t>
    </r>
  </si>
  <si>
    <t>省级成果奖</t>
  </si>
  <si>
    <t>双高专业群</t>
  </si>
  <si>
    <t>精品教材</t>
  </si>
  <si>
    <t>科研创新团队（平台）</t>
  </si>
  <si>
    <t>辅导员名师</t>
  </si>
  <si>
    <t>党组织荣誉</t>
  </si>
  <si>
    <t>党务工作项目荣誉</t>
  </si>
  <si>
    <t>CA三大检索</t>
  </si>
  <si>
    <t>市级成果奖</t>
  </si>
  <si>
    <t>卓越校专业群</t>
  </si>
  <si>
    <t>教材建设奖</t>
  </si>
  <si>
    <t>专业带头人</t>
  </si>
  <si>
    <t>学生工作项目</t>
  </si>
  <si>
    <t>国家开放大学成果奖</t>
  </si>
  <si>
    <t>国家开放大学</t>
  </si>
  <si>
    <t>五星级专业</t>
  </si>
  <si>
    <t>职业体验课</t>
  </si>
  <si>
    <t>学术带头人</t>
  </si>
  <si>
    <t>校级成果奖</t>
  </si>
  <si>
    <t>四星级专业</t>
  </si>
  <si>
    <t>技能大师</t>
  </si>
  <si>
    <t>国家级教学奖</t>
  </si>
  <si>
    <t>主持资源库建设</t>
  </si>
  <si>
    <t>骨干教师</t>
  </si>
  <si>
    <t>省级教学奖</t>
  </si>
  <si>
    <t>参与资源库建设</t>
  </si>
  <si>
    <t>科研骨干</t>
  </si>
  <si>
    <t>市级教学奖</t>
  </si>
  <si>
    <t>国家开放大学教学奖</t>
  </si>
  <si>
    <t>校级教学奖</t>
  </si>
</sst>
</file>

<file path=xl/styles.xml><?xml version="1.0" encoding="utf-8"?>
<styleSheet xmlns="http://schemas.openxmlformats.org/spreadsheetml/2006/main" xmlns:xr9="http://schemas.microsoft.com/office/spreadsheetml/2016/revision9">
  <numFmts count="1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quot;年&quot;m&quot;月&quot;;@"/>
    <numFmt numFmtId="177" formatCode="0.00_ "/>
    <numFmt numFmtId="178" formatCode="[DBNum1][$-804]yyyy&quot;年&quot;m&quot;月&quot;;@"/>
    <numFmt numFmtId="179" formatCode="[=0]&quot;&quot;;General"/>
    <numFmt numFmtId="180" formatCode="0_ "/>
    <numFmt numFmtId="181" formatCode="[DBNum1][$-804]yyyy&quot;年&quot;m&quot;月&quot;d&quot;日&quot;;@"/>
    <numFmt numFmtId="182" formatCode="yyyy&quot;年&quot;m&quot;月&quot;d&quot;日&quot;;@"/>
    <numFmt numFmtId="183" formatCode="0_);[Red]\(0\)"/>
    <numFmt numFmtId="184" formatCode="0.00_);[Red]\(0.00\)"/>
    <numFmt numFmtId="185" formatCode="0.000_ "/>
    <numFmt numFmtId="186" formatCode="0.0_);[Red]\(0.0\)"/>
  </numFmts>
  <fonts count="51">
    <font>
      <sz val="12"/>
      <name val="宋体"/>
      <charset val="134"/>
    </font>
    <font>
      <sz val="14"/>
      <name val="宋体"/>
      <charset val="134"/>
    </font>
    <font>
      <sz val="10.5"/>
      <name val="宋体"/>
      <charset val="134"/>
    </font>
    <font>
      <sz val="9"/>
      <name val="宋体"/>
      <charset val="134"/>
    </font>
    <font>
      <sz val="10"/>
      <name val="宋体"/>
      <charset val="134"/>
    </font>
    <font>
      <b/>
      <sz val="9"/>
      <name val="楷体_GB2312"/>
      <charset val="134"/>
    </font>
    <font>
      <b/>
      <sz val="20"/>
      <name val="新宋体"/>
      <charset val="134"/>
    </font>
    <font>
      <sz val="12"/>
      <color theme="1"/>
      <name val="宋体"/>
      <charset val="134"/>
    </font>
    <font>
      <sz val="11"/>
      <color indexed="9"/>
      <name val="宋体"/>
      <charset val="134"/>
    </font>
    <font>
      <b/>
      <sz val="28"/>
      <name val="楷体_GB2312"/>
      <charset val="134"/>
    </font>
    <font>
      <b/>
      <u/>
      <sz val="18"/>
      <name val="宋体"/>
      <charset val="134"/>
    </font>
    <font>
      <sz val="24"/>
      <name val="华文中宋"/>
      <charset val="134"/>
    </font>
    <font>
      <b/>
      <sz val="16"/>
      <name val="楷体_GB2312"/>
      <charset val="134"/>
    </font>
    <font>
      <b/>
      <sz val="14"/>
      <name val="楷体_GB2312"/>
      <charset val="134"/>
    </font>
    <font>
      <b/>
      <sz val="15"/>
      <name val="楷体_GB2312"/>
      <charset val="134"/>
    </font>
    <font>
      <b/>
      <sz val="18"/>
      <name val="楷体_GB2312"/>
      <charset val="134"/>
    </font>
    <font>
      <b/>
      <sz val="10.5"/>
      <name val="楷体_GB2312"/>
      <charset val="134"/>
    </font>
    <font>
      <sz val="10.5"/>
      <name val="楷体_GB2312"/>
      <charset val="134"/>
    </font>
    <font>
      <b/>
      <sz val="12"/>
      <name val="宋体"/>
      <charset val="134"/>
    </font>
    <font>
      <b/>
      <sz val="18"/>
      <name val="宋体"/>
      <charset val="134"/>
    </font>
    <font>
      <b/>
      <sz val="11"/>
      <name val="楷体_GB2312"/>
      <charset val="134"/>
    </font>
    <font>
      <sz val="9"/>
      <name val="楷体_GB2312"/>
      <charset val="134"/>
    </font>
    <font>
      <b/>
      <sz val="11"/>
      <name val="宋体"/>
      <charset val="134"/>
    </font>
    <font>
      <sz val="11"/>
      <name val="宋体"/>
      <charset val="134"/>
    </font>
    <font>
      <sz val="14"/>
      <name val="仿宋_GB2312"/>
      <charset val="134"/>
    </font>
    <font>
      <sz val="11"/>
      <name val="楷体_GB2312"/>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10"/>
      <name val="宋体"/>
      <charset val="134"/>
    </font>
    <font>
      <sz val="9"/>
      <name val="Tahoma"/>
      <charset val="134"/>
    </font>
    <font>
      <b/>
      <sz val="9"/>
      <name val="宋体"/>
      <charset val="134"/>
    </font>
    <font>
      <b/>
      <sz val="9"/>
      <color indexed="10"/>
      <name val="宋体"/>
      <charset val="134"/>
    </font>
    <font>
      <sz val="9"/>
      <name val="宋体"/>
      <charset val="134"/>
    </font>
  </fonts>
  <fills count="39">
    <fill>
      <patternFill patternType="none"/>
    </fill>
    <fill>
      <patternFill patternType="gray125"/>
    </fill>
    <fill>
      <patternFill patternType="solid">
        <fgColor theme="0"/>
        <bgColor indexed="64"/>
      </patternFill>
    </fill>
    <fill>
      <patternFill patternType="solid">
        <fgColor indexed="22"/>
        <bgColor indexed="64"/>
      </patternFill>
    </fill>
    <fill>
      <patternFill patternType="solid">
        <fgColor indexed="38"/>
        <bgColor indexed="64"/>
      </patternFill>
    </fill>
    <fill>
      <patternFill patternType="solid">
        <fgColor rgb="FFCCCCFF"/>
        <bgColor indexed="64"/>
      </patternFill>
    </fill>
    <fill>
      <patternFill patternType="solid">
        <fgColor indexed="31"/>
        <bgColor indexed="64"/>
      </patternFill>
    </fill>
    <fill>
      <patternFill patternType="solid">
        <fgColor theme="0" tint="-0.1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style="thin">
        <color auto="1"/>
      </bottom>
      <diagonal/>
    </border>
    <border>
      <left style="thin">
        <color auto="1"/>
      </left>
      <right/>
      <top/>
      <bottom style="thin">
        <color auto="1"/>
      </bottom>
      <diagonal/>
    </border>
    <border>
      <left/>
      <right/>
      <top/>
      <bottom style="thin">
        <color auto="1"/>
      </bottom>
      <diagonal/>
    </border>
    <border>
      <left/>
      <right/>
      <top style="thin">
        <color auto="1"/>
      </top>
      <bottom style="thin">
        <color auto="1"/>
      </bottom>
      <diagonal/>
    </border>
    <border>
      <left style="thin">
        <color auto="1"/>
      </left>
      <right style="thin">
        <color auto="1"/>
      </right>
      <top/>
      <bottom/>
      <diagonal/>
    </border>
    <border>
      <left/>
      <right style="thin">
        <color auto="1"/>
      </right>
      <top style="thin">
        <color auto="1"/>
      </top>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26" fillId="0" borderId="0" applyFont="0" applyFill="0" applyBorder="0" applyAlignment="0" applyProtection="0">
      <alignment vertical="center"/>
    </xf>
    <xf numFmtId="44" fontId="26" fillId="0" borderId="0" applyFont="0" applyFill="0" applyBorder="0" applyAlignment="0" applyProtection="0">
      <alignment vertical="center"/>
    </xf>
    <xf numFmtId="9" fontId="26" fillId="0" borderId="0" applyFont="0" applyFill="0" applyBorder="0" applyAlignment="0" applyProtection="0">
      <alignment vertical="center"/>
    </xf>
    <xf numFmtId="41" fontId="26" fillId="0" borderId="0" applyFont="0" applyFill="0" applyBorder="0" applyAlignment="0" applyProtection="0">
      <alignment vertical="center"/>
    </xf>
    <xf numFmtId="42" fontId="26" fillId="0" borderId="0" applyFon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6" fillId="8" borderId="13" applyNumberFormat="0" applyFont="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14" applyNumberFormat="0" applyFill="0" applyAlignment="0" applyProtection="0">
      <alignment vertical="center"/>
    </xf>
    <xf numFmtId="0" fontId="33" fillId="0" borderId="14" applyNumberFormat="0" applyFill="0" applyAlignment="0" applyProtection="0">
      <alignment vertical="center"/>
    </xf>
    <xf numFmtId="0" fontId="34" fillId="0" borderId="15" applyNumberFormat="0" applyFill="0" applyAlignment="0" applyProtection="0">
      <alignment vertical="center"/>
    </xf>
    <xf numFmtId="0" fontId="34" fillId="0" borderId="0" applyNumberFormat="0" applyFill="0" applyBorder="0" applyAlignment="0" applyProtection="0">
      <alignment vertical="center"/>
    </xf>
    <xf numFmtId="0" fontId="35" fillId="9" borderId="16" applyNumberFormat="0" applyAlignment="0" applyProtection="0">
      <alignment vertical="center"/>
    </xf>
    <xf numFmtId="0" fontId="36" fillId="10" borderId="17" applyNumberFormat="0" applyAlignment="0" applyProtection="0">
      <alignment vertical="center"/>
    </xf>
    <xf numFmtId="0" fontId="37" fillId="10" borderId="16" applyNumberFormat="0" applyAlignment="0" applyProtection="0">
      <alignment vertical="center"/>
    </xf>
    <xf numFmtId="0" fontId="38" fillId="11" borderId="18" applyNumberFormat="0" applyAlignment="0" applyProtection="0">
      <alignment vertical="center"/>
    </xf>
    <xf numFmtId="0" fontId="39" fillId="0" borderId="19" applyNumberFormat="0" applyFill="0" applyAlignment="0" applyProtection="0">
      <alignment vertical="center"/>
    </xf>
    <xf numFmtId="0" fontId="40" fillId="0" borderId="20" applyNumberFormat="0" applyFill="0" applyAlignment="0" applyProtection="0">
      <alignment vertical="center"/>
    </xf>
    <xf numFmtId="0" fontId="41" fillId="12" borderId="0" applyNumberFormat="0" applyBorder="0" applyAlignment="0" applyProtection="0">
      <alignment vertical="center"/>
    </xf>
    <xf numFmtId="0" fontId="42" fillId="13" borderId="0" applyNumberFormat="0" applyBorder="0" applyAlignment="0" applyProtection="0">
      <alignment vertical="center"/>
    </xf>
    <xf numFmtId="0" fontId="43" fillId="14" borderId="0" applyNumberFormat="0" applyBorder="0" applyAlignment="0" applyProtection="0">
      <alignment vertical="center"/>
    </xf>
    <xf numFmtId="0" fontId="44" fillId="15" borderId="0" applyNumberFormat="0" applyBorder="0" applyAlignment="0" applyProtection="0">
      <alignment vertical="center"/>
    </xf>
    <xf numFmtId="0" fontId="45" fillId="16" borderId="0" applyNumberFormat="0" applyBorder="0" applyAlignment="0" applyProtection="0">
      <alignment vertical="center"/>
    </xf>
    <xf numFmtId="0" fontId="45" fillId="17" borderId="0" applyNumberFormat="0" applyBorder="0" applyAlignment="0" applyProtection="0">
      <alignment vertical="center"/>
    </xf>
    <xf numFmtId="0" fontId="44" fillId="18" borderId="0" applyNumberFormat="0" applyBorder="0" applyAlignment="0" applyProtection="0">
      <alignment vertical="center"/>
    </xf>
    <xf numFmtId="0" fontId="44" fillId="19" borderId="0" applyNumberFormat="0" applyBorder="0" applyAlignment="0" applyProtection="0">
      <alignment vertical="center"/>
    </xf>
    <xf numFmtId="0" fontId="45" fillId="20" borderId="0" applyNumberFormat="0" applyBorder="0" applyAlignment="0" applyProtection="0">
      <alignment vertical="center"/>
    </xf>
    <xf numFmtId="0" fontId="45" fillId="21" borderId="0" applyNumberFormat="0" applyBorder="0" applyAlignment="0" applyProtection="0">
      <alignment vertical="center"/>
    </xf>
    <xf numFmtId="0" fontId="44" fillId="22" borderId="0" applyNumberFormat="0" applyBorder="0" applyAlignment="0" applyProtection="0">
      <alignment vertical="center"/>
    </xf>
    <xf numFmtId="0" fontId="44" fillId="23" borderId="0" applyNumberFormat="0" applyBorder="0" applyAlignment="0" applyProtection="0">
      <alignment vertical="center"/>
    </xf>
    <xf numFmtId="0" fontId="45" fillId="24" borderId="0" applyNumberFormat="0" applyBorder="0" applyAlignment="0" applyProtection="0">
      <alignment vertical="center"/>
    </xf>
    <xf numFmtId="0" fontId="45" fillId="25" borderId="0" applyNumberFormat="0" applyBorder="0" applyAlignment="0" applyProtection="0">
      <alignment vertical="center"/>
    </xf>
    <xf numFmtId="0" fontId="44" fillId="26" borderId="0" applyNumberFormat="0" applyBorder="0" applyAlignment="0" applyProtection="0">
      <alignment vertical="center"/>
    </xf>
    <xf numFmtId="0" fontId="44" fillId="27" borderId="0" applyNumberFormat="0" applyBorder="0" applyAlignment="0" applyProtection="0">
      <alignment vertical="center"/>
    </xf>
    <xf numFmtId="0" fontId="45" fillId="28" borderId="0" applyNumberFormat="0" applyBorder="0" applyAlignment="0" applyProtection="0">
      <alignment vertical="center"/>
    </xf>
    <xf numFmtId="0" fontId="45" fillId="29" borderId="0" applyNumberFormat="0" applyBorder="0" applyAlignment="0" applyProtection="0">
      <alignment vertical="center"/>
    </xf>
    <xf numFmtId="0" fontId="44" fillId="30" borderId="0" applyNumberFormat="0" applyBorder="0" applyAlignment="0" applyProtection="0">
      <alignment vertical="center"/>
    </xf>
    <xf numFmtId="0" fontId="44" fillId="31" borderId="0" applyNumberFormat="0" applyBorder="0" applyAlignment="0" applyProtection="0">
      <alignment vertical="center"/>
    </xf>
    <xf numFmtId="0" fontId="45" fillId="32" borderId="0" applyNumberFormat="0" applyBorder="0" applyAlignment="0" applyProtection="0">
      <alignment vertical="center"/>
    </xf>
    <xf numFmtId="0" fontId="45" fillId="33" borderId="0" applyNumberFormat="0" applyBorder="0" applyAlignment="0" applyProtection="0">
      <alignment vertical="center"/>
    </xf>
    <xf numFmtId="0" fontId="44" fillId="34" borderId="0" applyNumberFormat="0" applyBorder="0" applyAlignment="0" applyProtection="0">
      <alignment vertical="center"/>
    </xf>
    <xf numFmtId="0" fontId="44" fillId="35" borderId="0" applyNumberFormat="0" applyBorder="0" applyAlignment="0" applyProtection="0">
      <alignment vertical="center"/>
    </xf>
    <xf numFmtId="0" fontId="45" fillId="36" borderId="0" applyNumberFormat="0" applyBorder="0" applyAlignment="0" applyProtection="0">
      <alignment vertical="center"/>
    </xf>
    <xf numFmtId="0" fontId="45" fillId="37" borderId="0" applyNumberFormat="0" applyBorder="0" applyAlignment="0" applyProtection="0">
      <alignment vertical="center"/>
    </xf>
    <xf numFmtId="0" fontId="44" fillId="38" borderId="0" applyNumberFormat="0" applyBorder="0" applyAlignment="0" applyProtection="0">
      <alignment vertical="center"/>
    </xf>
    <xf numFmtId="14" fontId="0" fillId="0" borderId="0">
      <alignment vertical="center"/>
    </xf>
    <xf numFmtId="0" fontId="0" fillId="0" borderId="0">
      <alignment vertical="center"/>
    </xf>
    <xf numFmtId="0" fontId="0" fillId="0" borderId="0">
      <alignment vertical="center"/>
    </xf>
  </cellStyleXfs>
  <cellXfs count="250">
    <xf numFmtId="0" fontId="0" fillId="0" borderId="0" xfId="0">
      <alignment vertical="center"/>
    </xf>
    <xf numFmtId="0" fontId="1" fillId="0" borderId="1" xfId="0" applyFont="1" applyBorder="1" applyAlignment="1">
      <alignment horizontal="justify" vertical="center"/>
    </xf>
    <xf numFmtId="0" fontId="0" fillId="0" borderId="2" xfId="0" applyBorder="1">
      <alignment vertical="center"/>
    </xf>
    <xf numFmtId="0" fontId="0" fillId="0" borderId="2" xfId="0" applyBorder="1" applyAlignment="1">
      <alignment horizontal="center" vertical="center"/>
    </xf>
    <xf numFmtId="0" fontId="0" fillId="0" borderId="1" xfId="0" applyBorder="1" applyAlignment="1">
      <alignment horizontal="center"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2" xfId="0" applyFont="1" applyBorder="1" applyAlignment="1">
      <alignment horizontal="center" vertical="center"/>
    </xf>
    <xf numFmtId="0" fontId="0" fillId="0" borderId="0" xfId="0" applyBorder="1" applyAlignment="1">
      <alignment horizontal="center" vertical="center"/>
    </xf>
    <xf numFmtId="0" fontId="3" fillId="0" borderId="0" xfId="0" applyFont="1" applyAlignment="1">
      <alignment horizontal="center" wrapText="1"/>
    </xf>
    <xf numFmtId="0" fontId="4" fillId="0" borderId="0" xfId="0" applyFont="1" applyAlignment="1">
      <alignment horizontal="center" vertical="center" wrapText="1"/>
    </xf>
    <xf numFmtId="0" fontId="5" fillId="0" borderId="0" xfId="0" applyFont="1" applyAlignment="1" applyProtection="1">
      <alignment horizontal="center" vertical="center" wrapText="1"/>
      <protection hidden="1"/>
    </xf>
    <xf numFmtId="0" fontId="4" fillId="0" borderId="0" xfId="0" applyFont="1" applyAlignment="1">
      <alignment horizontal="center" wrapText="1"/>
    </xf>
    <xf numFmtId="0" fontId="6" fillId="0" borderId="0" xfId="0" applyFont="1" applyBorder="1" applyAlignment="1" applyProtection="1">
      <alignment horizontal="center" vertical="center" wrapText="1"/>
      <protection hidden="1"/>
    </xf>
    <xf numFmtId="0" fontId="4" fillId="0" borderId="2" xfId="0" applyFont="1" applyBorder="1" applyAlignment="1" applyProtection="1">
      <alignment horizontal="center" vertical="center" wrapText="1"/>
      <protection hidden="1"/>
    </xf>
    <xf numFmtId="0" fontId="4" fillId="0" borderId="3" xfId="0" applyFont="1" applyBorder="1" applyAlignment="1" applyProtection="1">
      <alignment horizontal="center" vertical="center" wrapText="1"/>
      <protection hidden="1"/>
    </xf>
    <xf numFmtId="0" fontId="4" fillId="0" borderId="4" xfId="0" applyFont="1" applyBorder="1" applyAlignment="1" applyProtection="1">
      <alignment horizontal="center" vertical="center" wrapText="1"/>
      <protection hidden="1"/>
    </xf>
    <xf numFmtId="0" fontId="5" fillId="0" borderId="2" xfId="0" applyFont="1" applyBorder="1" applyAlignment="1" applyProtection="1">
      <alignment horizontal="center" vertical="center" wrapText="1"/>
      <protection hidden="1"/>
    </xf>
    <xf numFmtId="176" fontId="5" fillId="0" borderId="2" xfId="0" applyNumberFormat="1" applyFont="1" applyBorder="1" applyAlignment="1" applyProtection="1">
      <alignment horizontal="center" vertical="center" wrapText="1"/>
      <protection hidden="1"/>
    </xf>
    <xf numFmtId="0" fontId="5" fillId="0" borderId="2" xfId="0" applyNumberFormat="1" applyFont="1" applyBorder="1" applyAlignment="1" applyProtection="1">
      <alignment horizontal="center" vertical="center" wrapText="1"/>
      <protection hidden="1"/>
    </xf>
    <xf numFmtId="0" fontId="3" fillId="0" borderId="0" xfId="0" applyFont="1" applyAlignment="1" applyProtection="1">
      <alignment horizontal="center" wrapText="1"/>
      <protection hidden="1"/>
    </xf>
    <xf numFmtId="0" fontId="0" fillId="0" borderId="0" xfId="0" applyAlignment="1" applyProtection="1">
      <alignment horizontal="center" vertical="center" wrapText="1"/>
      <protection hidden="1"/>
    </xf>
    <xf numFmtId="0" fontId="4" fillId="0" borderId="5" xfId="0" applyFont="1" applyBorder="1" applyAlignment="1" applyProtection="1">
      <alignment horizontal="center" vertical="center" wrapText="1"/>
      <protection hidden="1"/>
    </xf>
    <xf numFmtId="0" fontId="4" fillId="0" borderId="6" xfId="0" applyFont="1" applyBorder="1" applyAlignment="1" applyProtection="1">
      <alignment horizontal="center" vertical="center" wrapText="1"/>
      <protection hidden="1"/>
    </xf>
    <xf numFmtId="0" fontId="4" fillId="0" borderId="7" xfId="0" applyFont="1" applyBorder="1" applyAlignment="1" applyProtection="1">
      <alignment horizontal="center" vertical="center" wrapText="1"/>
      <protection hidden="1"/>
    </xf>
    <xf numFmtId="177" fontId="5" fillId="0" borderId="2" xfId="0" applyNumberFormat="1" applyFont="1" applyBorder="1" applyAlignment="1" applyProtection="1">
      <alignment horizontal="center" vertical="center" wrapText="1"/>
      <protection hidden="1"/>
    </xf>
    <xf numFmtId="0" fontId="0" fillId="0" borderId="2" xfId="0" applyFill="1" applyBorder="1" applyProtection="1">
      <alignment vertical="center"/>
      <protection hidden="1"/>
    </xf>
    <xf numFmtId="0" fontId="0" fillId="0" borderId="0" xfId="0" applyFill="1" applyBorder="1" applyProtection="1">
      <alignment vertical="center"/>
      <protection locked="0" hidden="1"/>
    </xf>
    <xf numFmtId="0" fontId="0" fillId="0" borderId="6" xfId="0" applyFill="1" applyBorder="1" applyProtection="1">
      <alignment vertical="center"/>
      <protection locked="0" hidden="1"/>
    </xf>
    <xf numFmtId="0" fontId="0" fillId="0" borderId="2" xfId="0" applyFill="1" applyBorder="1" applyProtection="1">
      <alignment vertical="center"/>
      <protection locked="0" hidden="1"/>
    </xf>
    <xf numFmtId="0" fontId="7" fillId="2" borderId="2" xfId="0" applyFont="1" applyFill="1" applyBorder="1" applyProtection="1">
      <alignment vertical="center"/>
      <protection locked="0" hidden="1"/>
    </xf>
    <xf numFmtId="0" fontId="7" fillId="2" borderId="2" xfId="0" applyFont="1" applyFill="1" applyBorder="1" applyAlignment="1" applyProtection="1">
      <alignment horizontal="center" vertical="center"/>
      <protection locked="0" hidden="1"/>
    </xf>
    <xf numFmtId="0" fontId="7" fillId="2" borderId="1" xfId="0" applyFont="1" applyFill="1" applyBorder="1" applyProtection="1">
      <alignment vertical="center"/>
      <protection locked="0" hidden="1"/>
    </xf>
    <xf numFmtId="0" fontId="0" fillId="2" borderId="0" xfId="0" applyFill="1" applyBorder="1" applyProtection="1">
      <alignment vertical="center"/>
      <protection hidden="1"/>
    </xf>
    <xf numFmtId="0" fontId="0" fillId="0" borderId="0" xfId="0" applyFill="1" applyBorder="1" applyProtection="1">
      <alignment vertical="center"/>
      <protection hidden="1"/>
    </xf>
    <xf numFmtId="0" fontId="0" fillId="3" borderId="0" xfId="0" applyFill="1" applyBorder="1" applyProtection="1">
      <alignment vertical="center"/>
      <protection locked="0" hidden="1"/>
    </xf>
    <xf numFmtId="0" fontId="8" fillId="4" borderId="0" xfId="0" applyFont="1" applyFill="1" applyBorder="1" applyAlignment="1" applyProtection="1">
      <alignment horizontal="left" vertical="center"/>
      <protection hidden="1"/>
    </xf>
    <xf numFmtId="0" fontId="8" fillId="4" borderId="0" xfId="0" applyFont="1" applyFill="1" applyBorder="1" applyAlignment="1" applyProtection="1">
      <alignment vertical="center"/>
      <protection hidden="1"/>
    </xf>
    <xf numFmtId="0" fontId="0" fillId="5" borderId="0" xfId="0" applyFill="1" applyBorder="1" applyProtection="1">
      <alignment vertical="center"/>
      <protection hidden="1"/>
    </xf>
    <xf numFmtId="0" fontId="9" fillId="5" borderId="0" xfId="0" applyFont="1" applyFill="1" applyBorder="1" applyAlignment="1" applyProtection="1">
      <alignment horizontal="center" vertical="center" wrapText="1"/>
      <protection hidden="1"/>
    </xf>
    <xf numFmtId="0" fontId="10" fillId="5" borderId="0" xfId="0" applyFont="1" applyFill="1" applyBorder="1" applyAlignment="1" applyProtection="1">
      <alignment vertical="center"/>
      <protection hidden="1"/>
    </xf>
    <xf numFmtId="0" fontId="10" fillId="2" borderId="8" xfId="0" applyFont="1" applyFill="1" applyBorder="1" applyAlignment="1" applyProtection="1">
      <alignment horizontal="center" vertical="center"/>
      <protection locked="0" hidden="1"/>
    </xf>
    <xf numFmtId="0" fontId="0" fillId="5" borderId="0" xfId="0" applyFill="1" applyBorder="1" applyAlignment="1" applyProtection="1">
      <alignment vertical="center"/>
      <protection hidden="1"/>
    </xf>
    <xf numFmtId="0" fontId="11" fillId="5" borderId="0" xfId="0" applyFont="1" applyFill="1" applyBorder="1" applyAlignment="1" applyProtection="1">
      <alignment horizontal="center" vertical="center"/>
      <protection hidden="1"/>
    </xf>
    <xf numFmtId="0" fontId="12" fillId="5" borderId="0" xfId="0" applyFont="1" applyFill="1" applyBorder="1" applyAlignment="1" applyProtection="1">
      <protection hidden="1"/>
    </xf>
    <xf numFmtId="0" fontId="12" fillId="5" borderId="0" xfId="0" applyFont="1" applyFill="1" applyBorder="1" applyAlignment="1" applyProtection="1">
      <alignment horizontal="distributed"/>
      <protection hidden="1"/>
    </xf>
    <xf numFmtId="0" fontId="13" fillId="2" borderId="8" xfId="0" applyFont="1" applyFill="1" applyBorder="1" applyAlignment="1" applyProtection="1">
      <alignment horizontal="center" shrinkToFit="1"/>
      <protection locked="0" hidden="1"/>
    </xf>
    <xf numFmtId="0" fontId="14" fillId="5" borderId="0" xfId="0" applyFont="1" applyFill="1" applyBorder="1" applyAlignment="1" applyProtection="1">
      <protection hidden="1"/>
    </xf>
    <xf numFmtId="0" fontId="14" fillId="5" borderId="0" xfId="0" applyFont="1" applyFill="1" applyBorder="1" applyAlignment="1" applyProtection="1">
      <alignment horizontal="distributed"/>
      <protection hidden="1"/>
    </xf>
    <xf numFmtId="0" fontId="14" fillId="5" borderId="8" xfId="0" applyFont="1" applyFill="1" applyBorder="1" applyAlignment="1" applyProtection="1">
      <alignment horizontal="center"/>
      <protection hidden="1"/>
    </xf>
    <xf numFmtId="57" fontId="13" fillId="2" borderId="8" xfId="0" applyNumberFormat="1" applyFont="1" applyFill="1" applyBorder="1" applyAlignment="1" applyProtection="1">
      <alignment horizontal="center" shrinkToFit="1"/>
      <protection locked="0" hidden="1"/>
    </xf>
    <xf numFmtId="178" fontId="13" fillId="5" borderId="0" xfId="0" applyNumberFormat="1" applyFont="1" applyFill="1" applyBorder="1" applyAlignment="1" applyProtection="1">
      <alignment shrinkToFit="1"/>
      <protection hidden="1"/>
    </xf>
    <xf numFmtId="0" fontId="0" fillId="5" borderId="0" xfId="0" applyFill="1" applyBorder="1" applyAlignment="1" applyProtection="1">
      <alignment horizontal="center" vertical="center"/>
      <protection hidden="1"/>
    </xf>
    <xf numFmtId="0" fontId="12" fillId="5" borderId="0" xfId="0" applyFont="1" applyFill="1" applyBorder="1" applyAlignment="1" applyProtection="1">
      <alignment horizontal="center"/>
      <protection hidden="1"/>
    </xf>
    <xf numFmtId="178" fontId="13" fillId="5" borderId="0" xfId="0" applyNumberFormat="1" applyFont="1" applyFill="1" applyBorder="1" applyAlignment="1" applyProtection="1">
      <alignment horizontal="center" shrinkToFit="1"/>
      <protection hidden="1"/>
    </xf>
    <xf numFmtId="0" fontId="15" fillId="5" borderId="0" xfId="0" applyFont="1" applyFill="1" applyBorder="1" applyAlignment="1" applyProtection="1">
      <alignment horizontal="center"/>
      <protection hidden="1"/>
    </xf>
    <xf numFmtId="0" fontId="2" fillId="2" borderId="0" xfId="0" applyFont="1" applyFill="1" applyBorder="1" applyAlignment="1" applyProtection="1">
      <alignment horizontal="center" vertical="center" wrapText="1"/>
      <protection locked="0" hidden="1"/>
    </xf>
    <xf numFmtId="179" fontId="16" fillId="2" borderId="0" xfId="0" applyNumberFormat="1" applyFont="1" applyFill="1" applyBorder="1" applyAlignment="1" applyProtection="1">
      <alignment horizontal="center" vertical="center" wrapText="1"/>
      <protection locked="0" hidden="1"/>
    </xf>
    <xf numFmtId="0" fontId="16" fillId="2" borderId="0" xfId="0" applyFont="1" applyFill="1" applyBorder="1" applyAlignment="1" applyProtection="1">
      <alignment horizontal="center" vertical="center" shrinkToFit="1"/>
      <protection locked="0" hidden="1"/>
    </xf>
    <xf numFmtId="176" fontId="16" fillId="2" borderId="0" xfId="0" applyNumberFormat="1" applyFont="1" applyFill="1" applyBorder="1" applyAlignment="1" applyProtection="1">
      <alignment horizontal="center" vertical="center" shrinkToFit="1"/>
      <protection locked="0" hidden="1"/>
    </xf>
    <xf numFmtId="0" fontId="2" fillId="6" borderId="2" xfId="0" applyFont="1" applyFill="1" applyBorder="1" applyAlignment="1" applyProtection="1">
      <alignment horizontal="center" vertical="center" shrinkToFit="1"/>
      <protection hidden="1"/>
    </xf>
    <xf numFmtId="179" fontId="2" fillId="6" borderId="1" xfId="0" applyNumberFormat="1" applyFont="1" applyFill="1" applyBorder="1" applyAlignment="1" applyProtection="1">
      <alignment horizontal="center" vertical="center" shrinkToFit="1"/>
      <protection hidden="1"/>
    </xf>
    <xf numFmtId="179" fontId="2" fillId="6" borderId="6" xfId="0" applyNumberFormat="1" applyFont="1" applyFill="1" applyBorder="1" applyAlignment="1" applyProtection="1">
      <alignment horizontal="center" vertical="center" shrinkToFit="1"/>
      <protection hidden="1"/>
    </xf>
    <xf numFmtId="0" fontId="17" fillId="2" borderId="1" xfId="0" applyFont="1" applyFill="1" applyBorder="1" applyAlignment="1" applyProtection="1">
      <alignment horizontal="center" vertical="center" shrinkToFit="1"/>
      <protection locked="0" hidden="1"/>
    </xf>
    <xf numFmtId="0" fontId="17" fillId="2" borderId="6" xfId="0" applyFont="1" applyFill="1" applyBorder="1" applyAlignment="1" applyProtection="1">
      <alignment horizontal="center" vertical="center" shrinkToFit="1"/>
      <protection locked="0" hidden="1"/>
    </xf>
    <xf numFmtId="0" fontId="2" fillId="6" borderId="1" xfId="0" applyFont="1" applyFill="1" applyBorder="1" applyAlignment="1" applyProtection="1">
      <alignment horizontal="center" vertical="center" wrapText="1" shrinkToFit="1"/>
      <protection hidden="1"/>
    </xf>
    <xf numFmtId="0" fontId="2" fillId="6" borderId="2" xfId="0" applyFont="1" applyFill="1" applyBorder="1" applyAlignment="1" applyProtection="1">
      <alignment horizontal="center" vertical="center" wrapText="1" shrinkToFit="1"/>
      <protection hidden="1"/>
    </xf>
    <xf numFmtId="0" fontId="17" fillId="2" borderId="9" xfId="0" applyFont="1" applyFill="1" applyBorder="1" applyAlignment="1" applyProtection="1">
      <alignment horizontal="center" vertical="center" shrinkToFit="1"/>
      <protection locked="0" hidden="1"/>
    </xf>
    <xf numFmtId="57" fontId="2" fillId="2" borderId="5" xfId="0" applyNumberFormat="1" applyFont="1" applyFill="1" applyBorder="1" applyAlignment="1" applyProtection="1">
      <alignment horizontal="center" vertical="center" wrapText="1"/>
      <protection locked="0" hidden="1"/>
    </xf>
    <xf numFmtId="0" fontId="2" fillId="6" borderId="6" xfId="0" applyFont="1" applyFill="1" applyBorder="1" applyAlignment="1" applyProtection="1">
      <alignment horizontal="center" vertical="center" wrapText="1" shrinkToFit="1"/>
      <protection hidden="1"/>
    </xf>
    <xf numFmtId="57" fontId="17" fillId="2" borderId="2" xfId="0" applyNumberFormat="1" applyFont="1" applyFill="1" applyBorder="1" applyAlignment="1" applyProtection="1">
      <alignment horizontal="center" vertical="center" shrinkToFit="1"/>
      <protection locked="0" hidden="1"/>
    </xf>
    <xf numFmtId="0" fontId="17" fillId="2" borderId="2" xfId="0" applyFont="1" applyFill="1" applyBorder="1" applyAlignment="1" applyProtection="1">
      <alignment horizontal="center" vertical="center" shrinkToFit="1"/>
      <protection locked="0" hidden="1"/>
    </xf>
    <xf numFmtId="0" fontId="2" fillId="6" borderId="9" xfId="0" applyFont="1" applyFill="1" applyBorder="1" applyAlignment="1" applyProtection="1">
      <alignment horizontal="right" vertical="center" shrinkToFit="1"/>
      <protection hidden="1"/>
    </xf>
    <xf numFmtId="57" fontId="2" fillId="2" borderId="1" xfId="0" applyNumberFormat="1" applyFont="1" applyFill="1" applyBorder="1" applyAlignment="1" applyProtection="1">
      <alignment horizontal="center" vertical="center" wrapText="1"/>
      <protection locked="0" hidden="1"/>
    </xf>
    <xf numFmtId="57" fontId="2" fillId="2" borderId="9" xfId="0" applyNumberFormat="1" applyFont="1" applyFill="1" applyBorder="1" applyAlignment="1" applyProtection="1">
      <alignment horizontal="center" vertical="center" wrapText="1"/>
      <protection locked="0" hidden="1"/>
    </xf>
    <xf numFmtId="57" fontId="2" fillId="2" borderId="6" xfId="0" applyNumberFormat="1" applyFont="1" applyFill="1" applyBorder="1" applyAlignment="1" applyProtection="1">
      <alignment horizontal="center" vertical="center" wrapText="1"/>
      <protection locked="0" hidden="1"/>
    </xf>
    <xf numFmtId="0" fontId="18" fillId="6" borderId="2" xfId="0" applyFont="1" applyFill="1" applyBorder="1" applyAlignment="1" applyProtection="1">
      <alignment horizontal="center" vertical="center" wrapText="1"/>
      <protection hidden="1"/>
    </xf>
    <xf numFmtId="0" fontId="2" fillId="6" borderId="1" xfId="0" applyFont="1" applyFill="1" applyBorder="1" applyAlignment="1" applyProtection="1">
      <alignment horizontal="center" vertical="center" shrinkToFit="1"/>
      <protection hidden="1"/>
    </xf>
    <xf numFmtId="0" fontId="2" fillId="6" borderId="9" xfId="0" applyFont="1" applyFill="1" applyBorder="1" applyAlignment="1" applyProtection="1">
      <alignment horizontal="center" vertical="center" shrinkToFit="1"/>
      <protection hidden="1"/>
    </xf>
    <xf numFmtId="0" fontId="2" fillId="6" borderId="6" xfId="0" applyFont="1" applyFill="1" applyBorder="1" applyAlignment="1" applyProtection="1">
      <alignment horizontal="center" vertical="center" shrinkToFit="1"/>
      <protection hidden="1"/>
    </xf>
    <xf numFmtId="49" fontId="17" fillId="2" borderId="1" xfId="0" applyNumberFormat="1" applyFont="1" applyFill="1" applyBorder="1" applyAlignment="1" applyProtection="1">
      <alignment horizontal="center" vertical="center" wrapText="1" shrinkToFit="1"/>
      <protection locked="0" hidden="1"/>
    </xf>
    <xf numFmtId="49" fontId="17" fillId="2" borderId="9" xfId="0" applyNumberFormat="1" applyFont="1" applyFill="1" applyBorder="1" applyAlignment="1" applyProtection="1">
      <alignment horizontal="center" vertical="center" wrapText="1" shrinkToFit="1"/>
      <protection locked="0" hidden="1"/>
    </xf>
    <xf numFmtId="49" fontId="17" fillId="2" borderId="6" xfId="0" applyNumberFormat="1" applyFont="1" applyFill="1" applyBorder="1" applyAlignment="1" applyProtection="1">
      <alignment horizontal="center" vertical="center" wrapText="1" shrinkToFit="1"/>
      <protection locked="0" hidden="1"/>
    </xf>
    <xf numFmtId="0" fontId="2" fillId="6" borderId="1" xfId="0" applyFont="1" applyFill="1" applyBorder="1" applyAlignment="1" applyProtection="1">
      <alignment horizontal="center" vertical="center"/>
      <protection hidden="1"/>
    </xf>
    <xf numFmtId="0" fontId="2" fillId="6" borderId="9" xfId="0" applyFont="1" applyFill="1" applyBorder="1" applyAlignment="1" applyProtection="1">
      <alignment horizontal="center" vertical="center"/>
      <protection hidden="1"/>
    </xf>
    <xf numFmtId="0" fontId="4" fillId="6" borderId="2" xfId="0" applyFont="1" applyFill="1" applyBorder="1" applyAlignment="1" applyProtection="1">
      <alignment vertical="center"/>
      <protection hidden="1"/>
    </xf>
    <xf numFmtId="0" fontId="2" fillId="6" borderId="6" xfId="0" applyFont="1" applyFill="1" applyBorder="1" applyAlignment="1" applyProtection="1">
      <alignment vertical="center"/>
      <protection hidden="1"/>
    </xf>
    <xf numFmtId="180" fontId="16" fillId="2" borderId="1" xfId="0" applyNumberFormat="1" applyFont="1" applyFill="1" applyBorder="1" applyAlignment="1" applyProtection="1">
      <alignment horizontal="center" vertical="center" shrinkToFit="1"/>
      <protection locked="0" hidden="1"/>
    </xf>
    <xf numFmtId="180" fontId="16" fillId="2" borderId="6" xfId="0" applyNumberFormat="1" applyFont="1" applyFill="1" applyBorder="1" applyAlignment="1" applyProtection="1">
      <alignment horizontal="center" vertical="center" shrinkToFit="1"/>
      <protection locked="0" hidden="1"/>
    </xf>
    <xf numFmtId="180" fontId="16" fillId="2" borderId="2" xfId="0" applyNumberFormat="1" applyFont="1" applyFill="1" applyBorder="1" applyAlignment="1" applyProtection="1">
      <alignment horizontal="center" vertical="center" shrinkToFit="1"/>
      <protection locked="0" hidden="1"/>
    </xf>
    <xf numFmtId="0" fontId="2" fillId="6" borderId="6" xfId="0" applyFont="1" applyFill="1" applyBorder="1" applyAlignment="1" applyProtection="1">
      <alignment horizontal="center" vertical="center"/>
      <protection hidden="1"/>
    </xf>
    <xf numFmtId="180" fontId="16" fillId="2" borderId="9" xfId="0" applyNumberFormat="1" applyFont="1" applyFill="1" applyBorder="1" applyAlignment="1" applyProtection="1">
      <alignment horizontal="center" vertical="center" shrinkToFit="1"/>
      <protection locked="0" hidden="1"/>
    </xf>
    <xf numFmtId="0" fontId="2" fillId="6" borderId="2" xfId="0" applyFont="1" applyFill="1" applyBorder="1" applyAlignment="1" applyProtection="1">
      <alignment horizontal="center" vertical="center" wrapText="1"/>
      <protection hidden="1"/>
    </xf>
    <xf numFmtId="0" fontId="2" fillId="6" borderId="1" xfId="0" applyFont="1" applyFill="1" applyBorder="1" applyAlignment="1" applyProtection="1">
      <alignment horizontal="center" vertical="center" wrapText="1"/>
      <protection hidden="1"/>
    </xf>
    <xf numFmtId="0" fontId="2" fillId="6" borderId="6" xfId="0" applyFont="1" applyFill="1" applyBorder="1" applyAlignment="1" applyProtection="1">
      <alignment horizontal="center" vertical="center" wrapText="1"/>
      <protection hidden="1"/>
    </xf>
    <xf numFmtId="180" fontId="17" fillId="2" borderId="1" xfId="0" applyNumberFormat="1" applyFont="1" applyFill="1" applyBorder="1" applyAlignment="1" applyProtection="1">
      <alignment horizontal="center" vertical="center" shrinkToFit="1"/>
      <protection locked="0" hidden="1"/>
    </xf>
    <xf numFmtId="180" fontId="17" fillId="2" borderId="6" xfId="0" applyNumberFormat="1" applyFont="1" applyFill="1" applyBorder="1" applyAlignment="1" applyProtection="1">
      <alignment horizontal="center" vertical="center" shrinkToFit="1"/>
      <protection locked="0" hidden="1"/>
    </xf>
    <xf numFmtId="0" fontId="2" fillId="6" borderId="3" xfId="0" applyFont="1" applyFill="1" applyBorder="1" applyAlignment="1" applyProtection="1">
      <alignment horizontal="center" vertical="center" wrapText="1" shrinkToFit="1"/>
      <protection hidden="1"/>
    </xf>
    <xf numFmtId="0" fontId="2" fillId="6" borderId="10" xfId="0" applyFont="1" applyFill="1" applyBorder="1" applyAlignment="1" applyProtection="1">
      <alignment horizontal="center" vertical="center" wrapText="1" shrinkToFit="1"/>
      <protection hidden="1"/>
    </xf>
    <xf numFmtId="180" fontId="17" fillId="2" borderId="9" xfId="0" applyNumberFormat="1" applyFont="1" applyFill="1" applyBorder="1" applyAlignment="1" applyProtection="1">
      <alignment horizontal="center" vertical="center" shrinkToFit="1"/>
      <protection locked="0" hidden="1"/>
    </xf>
    <xf numFmtId="0" fontId="2" fillId="6" borderId="4" xfId="0" applyFont="1" applyFill="1" applyBorder="1" applyAlignment="1" applyProtection="1">
      <alignment horizontal="center" vertical="center" wrapText="1" shrinkToFit="1"/>
      <protection hidden="1"/>
    </xf>
    <xf numFmtId="0" fontId="2" fillId="6" borderId="2" xfId="0" applyFont="1" applyFill="1" applyBorder="1" applyAlignment="1" applyProtection="1">
      <alignment horizontal="center" vertical="center"/>
      <protection hidden="1"/>
    </xf>
    <xf numFmtId="49" fontId="17" fillId="2" borderId="1" xfId="0" applyNumberFormat="1" applyFont="1" applyFill="1" applyBorder="1" applyAlignment="1" applyProtection="1">
      <alignment horizontal="center" vertical="center" shrinkToFit="1"/>
      <protection locked="0" hidden="1"/>
    </xf>
    <xf numFmtId="49" fontId="17" fillId="2" borderId="6" xfId="0" applyNumberFormat="1" applyFont="1" applyFill="1" applyBorder="1" applyAlignment="1" applyProtection="1">
      <alignment horizontal="center" vertical="center" shrinkToFit="1"/>
      <protection locked="0" hidden="1"/>
    </xf>
    <xf numFmtId="0" fontId="7" fillId="2" borderId="6" xfId="0" applyFont="1" applyFill="1" applyBorder="1" applyProtection="1">
      <alignment vertical="center"/>
      <protection locked="0" hidden="1"/>
    </xf>
    <xf numFmtId="0" fontId="7" fillId="5" borderId="0" xfId="0" applyFont="1" applyFill="1" applyBorder="1" applyProtection="1">
      <alignment vertical="center"/>
      <protection hidden="1"/>
    </xf>
    <xf numFmtId="0" fontId="7" fillId="2" borderId="11" xfId="0" applyFont="1" applyFill="1" applyBorder="1" applyProtection="1">
      <alignment vertical="center"/>
      <protection locked="0" hidden="1"/>
    </xf>
    <xf numFmtId="0" fontId="7" fillId="2" borderId="0" xfId="0" applyFont="1" applyFill="1" applyBorder="1" applyProtection="1">
      <alignment vertical="center"/>
      <protection locked="0" hidden="1"/>
    </xf>
    <xf numFmtId="0" fontId="7" fillId="2" borderId="12" xfId="0" applyFont="1" applyFill="1" applyBorder="1" applyProtection="1">
      <alignment vertical="center"/>
      <protection locked="0" hidden="1"/>
    </xf>
    <xf numFmtId="0" fontId="19" fillId="5" borderId="0" xfId="0" applyFont="1" applyFill="1" applyAlignment="1" applyProtection="1">
      <alignment horizontal="left" vertical="center"/>
      <protection hidden="1"/>
    </xf>
    <xf numFmtId="0" fontId="7" fillId="5" borderId="0" xfId="0" applyFont="1" applyFill="1" applyBorder="1" applyAlignment="1" applyProtection="1">
      <alignment vertical="center"/>
      <protection hidden="1"/>
    </xf>
    <xf numFmtId="178" fontId="13" fillId="5" borderId="0" xfId="0" applyNumberFormat="1" applyFont="1" applyFill="1" applyBorder="1" applyAlignment="1" applyProtection="1">
      <alignment vertical="center" shrinkToFit="1"/>
      <protection hidden="1"/>
    </xf>
    <xf numFmtId="181" fontId="13" fillId="5" borderId="0" xfId="0" applyNumberFormat="1" applyFont="1" applyFill="1" applyBorder="1" applyAlignment="1" applyProtection="1">
      <alignment vertical="center" shrinkToFit="1"/>
      <protection hidden="1"/>
    </xf>
    <xf numFmtId="181" fontId="13" fillId="5" borderId="0" xfId="0" applyNumberFormat="1" applyFont="1" applyFill="1" applyBorder="1" applyAlignment="1" applyProtection="1">
      <alignment horizontal="center" vertical="center" shrinkToFit="1"/>
      <protection hidden="1"/>
    </xf>
    <xf numFmtId="57" fontId="2" fillId="2" borderId="0" xfId="0" applyNumberFormat="1" applyFont="1" applyFill="1" applyBorder="1" applyAlignment="1" applyProtection="1">
      <alignment horizontal="center" vertical="center" wrapText="1"/>
      <protection locked="0" hidden="1"/>
    </xf>
    <xf numFmtId="180" fontId="20" fillId="2" borderId="0" xfId="0" applyNumberFormat="1" applyFont="1" applyFill="1" applyBorder="1" applyAlignment="1" applyProtection="1">
      <alignment horizontal="center" vertical="center"/>
      <protection locked="0" hidden="1"/>
    </xf>
    <xf numFmtId="0" fontId="20" fillId="2" borderId="0" xfId="0" applyFont="1" applyFill="1" applyBorder="1" applyAlignment="1" applyProtection="1">
      <alignment horizontal="left" vertical="center"/>
      <protection locked="0" hidden="1"/>
    </xf>
    <xf numFmtId="182" fontId="17" fillId="2" borderId="2" xfId="0" applyNumberFormat="1" applyFont="1" applyFill="1" applyBorder="1" applyAlignment="1" applyProtection="1">
      <alignment horizontal="center" vertical="center" wrapText="1" shrinkToFit="1"/>
      <protection locked="0" hidden="1"/>
    </xf>
    <xf numFmtId="0" fontId="2" fillId="2" borderId="6" xfId="0" applyFont="1" applyFill="1" applyBorder="1" applyAlignment="1" applyProtection="1">
      <alignment horizontal="center" vertical="center" wrapText="1"/>
      <protection locked="0" hidden="1"/>
    </xf>
    <xf numFmtId="57" fontId="2" fillId="2" borderId="2" xfId="0" applyNumberFormat="1" applyFont="1" applyFill="1" applyBorder="1" applyAlignment="1" applyProtection="1">
      <alignment horizontal="center" vertical="center" wrapText="1"/>
      <protection locked="0" hidden="1"/>
    </xf>
    <xf numFmtId="0" fontId="7" fillId="2" borderId="2" xfId="0" applyFont="1" applyFill="1" applyBorder="1" applyAlignment="1" applyProtection="1">
      <alignment vertical="center" shrinkToFit="1"/>
      <protection locked="0" hidden="1"/>
    </xf>
    <xf numFmtId="0" fontId="2" fillId="6" borderId="6" xfId="0" applyFont="1" applyFill="1" applyBorder="1" applyAlignment="1" applyProtection="1">
      <alignment horizontal="left" vertical="center" shrinkToFit="1"/>
      <protection hidden="1"/>
    </xf>
    <xf numFmtId="176" fontId="17" fillId="2" borderId="2" xfId="0" applyNumberFormat="1" applyFont="1" applyFill="1" applyBorder="1" applyAlignment="1" applyProtection="1">
      <alignment horizontal="center" vertical="center" wrapText="1" shrinkToFit="1"/>
      <protection locked="0" hidden="1"/>
    </xf>
    <xf numFmtId="0" fontId="2" fillId="6" borderId="1" xfId="0" applyFont="1" applyFill="1" applyBorder="1" applyAlignment="1" applyProtection="1">
      <alignment horizontal="right" vertical="center" shrinkToFit="1"/>
      <protection hidden="1"/>
    </xf>
    <xf numFmtId="176" fontId="17" fillId="2" borderId="2" xfId="0" applyNumberFormat="1" applyFont="1" applyFill="1" applyBorder="1" applyAlignment="1" applyProtection="1">
      <alignment vertical="center" wrapText="1" shrinkToFit="1"/>
      <protection locked="0" hidden="1"/>
    </xf>
    <xf numFmtId="180" fontId="16" fillId="2" borderId="2" xfId="0" applyNumberFormat="1" applyFont="1" applyFill="1" applyBorder="1" applyAlignment="1" applyProtection="1">
      <alignment vertical="center" shrinkToFit="1"/>
      <protection locked="0" hidden="1"/>
    </xf>
    <xf numFmtId="177" fontId="2" fillId="6" borderId="2" xfId="0" applyNumberFormat="1" applyFont="1" applyFill="1" applyBorder="1" applyAlignment="1" applyProtection="1">
      <alignment horizontal="center" vertical="center" wrapText="1" shrinkToFit="1"/>
      <protection hidden="1"/>
    </xf>
    <xf numFmtId="0" fontId="2" fillId="6" borderId="6" xfId="0" applyFont="1" applyFill="1" applyBorder="1" applyAlignment="1" applyProtection="1">
      <alignment vertical="center" shrinkToFit="1"/>
      <protection hidden="1"/>
    </xf>
    <xf numFmtId="0" fontId="2" fillId="6" borderId="2" xfId="0" applyFont="1" applyFill="1" applyBorder="1" applyAlignment="1" applyProtection="1">
      <alignment vertical="center"/>
      <protection hidden="1"/>
    </xf>
    <xf numFmtId="180" fontId="17" fillId="2" borderId="2" xfId="0" applyNumberFormat="1" applyFont="1" applyFill="1" applyBorder="1" applyAlignment="1" applyProtection="1">
      <alignment horizontal="center" vertical="center" shrinkToFit="1"/>
      <protection locked="0" hidden="1"/>
    </xf>
    <xf numFmtId="0" fontId="7" fillId="2" borderId="2" xfId="0" applyFont="1" applyFill="1" applyBorder="1" applyAlignment="1" applyProtection="1">
      <alignment horizontal="center" vertical="center" shrinkToFit="1"/>
      <protection locked="0" hidden="1"/>
    </xf>
    <xf numFmtId="0" fontId="7" fillId="2" borderId="1" xfId="0" applyFont="1" applyFill="1" applyBorder="1" applyAlignment="1" applyProtection="1">
      <alignment horizontal="center" vertical="center"/>
      <protection locked="0" hidden="1"/>
    </xf>
    <xf numFmtId="0" fontId="7" fillId="2" borderId="6" xfId="0" applyFont="1" applyFill="1" applyBorder="1" applyAlignment="1" applyProtection="1">
      <alignment horizontal="center" vertical="center"/>
      <protection locked="0" hidden="1"/>
    </xf>
    <xf numFmtId="0" fontId="0" fillId="3" borderId="0" xfId="0" applyFill="1" applyBorder="1" applyProtection="1">
      <alignment vertical="center"/>
      <protection hidden="1"/>
    </xf>
    <xf numFmtId="0" fontId="18" fillId="6" borderId="2" xfId="0" applyFont="1" applyFill="1" applyBorder="1" applyAlignment="1" applyProtection="1">
      <alignment horizontal="left" vertical="center" wrapText="1"/>
      <protection locked="0" hidden="1"/>
    </xf>
    <xf numFmtId="49" fontId="5" fillId="0" borderId="2" xfId="0" applyNumberFormat="1" applyFont="1" applyFill="1" applyBorder="1" applyAlignment="1" applyProtection="1">
      <alignment horizontal="center" vertical="center" shrinkToFit="1"/>
      <protection locked="0" hidden="1"/>
    </xf>
    <xf numFmtId="49" fontId="21" fillId="0" borderId="2" xfId="0" applyNumberFormat="1" applyFont="1" applyFill="1" applyBorder="1" applyAlignment="1" applyProtection="1">
      <alignment horizontal="center" vertical="center" shrinkToFit="1"/>
      <protection locked="0" hidden="1"/>
    </xf>
    <xf numFmtId="0" fontId="0" fillId="0" borderId="2" xfId="0" applyBorder="1" applyAlignment="1" applyProtection="1">
      <alignment horizontal="center" vertical="center" shrinkToFit="1"/>
      <protection locked="0" hidden="1"/>
    </xf>
    <xf numFmtId="49" fontId="21" fillId="6" borderId="1" xfId="0" applyNumberFormat="1" applyFont="1" applyFill="1" applyBorder="1" applyAlignment="1" applyProtection="1">
      <alignment horizontal="center" vertical="center" shrinkToFit="1"/>
      <protection hidden="1"/>
    </xf>
    <xf numFmtId="49" fontId="21" fillId="6" borderId="9" xfId="0" applyNumberFormat="1" applyFont="1" applyFill="1" applyBorder="1" applyAlignment="1" applyProtection="1">
      <alignment horizontal="center" vertical="center" shrinkToFit="1"/>
      <protection hidden="1"/>
    </xf>
    <xf numFmtId="0" fontId="2" fillId="6" borderId="2" xfId="0" applyFont="1" applyFill="1" applyBorder="1" applyAlignment="1" applyProtection="1">
      <alignment vertical="center" shrinkToFit="1"/>
      <protection hidden="1"/>
    </xf>
    <xf numFmtId="49" fontId="21" fillId="0" borderId="1" xfId="0" applyNumberFormat="1" applyFont="1" applyFill="1" applyBorder="1" applyAlignment="1" applyProtection="1">
      <alignment horizontal="center" vertical="center" shrinkToFit="1"/>
      <protection locked="0" hidden="1"/>
    </xf>
    <xf numFmtId="49" fontId="21" fillId="0" borderId="9" xfId="0" applyNumberFormat="1" applyFont="1" applyFill="1" applyBorder="1" applyAlignment="1" applyProtection="1">
      <alignment horizontal="center" vertical="center" shrinkToFit="1"/>
      <protection locked="0" hidden="1"/>
    </xf>
    <xf numFmtId="49" fontId="21" fillId="0" borderId="6" xfId="0" applyNumberFormat="1" applyFont="1" applyFill="1" applyBorder="1" applyAlignment="1" applyProtection="1">
      <alignment horizontal="center" vertical="center" shrinkToFit="1"/>
      <protection locked="0" hidden="1"/>
    </xf>
    <xf numFmtId="49" fontId="21" fillId="0" borderId="6" xfId="0" applyNumberFormat="1" applyFont="1" applyFill="1" applyBorder="1" applyAlignment="1" applyProtection="1">
      <alignment vertical="center" shrinkToFit="1"/>
      <protection locked="0" hidden="1"/>
    </xf>
    <xf numFmtId="180" fontId="5" fillId="0" borderId="2" xfId="0" applyNumberFormat="1" applyFont="1" applyBorder="1" applyAlignment="1" applyProtection="1">
      <alignment horizontal="center" vertical="center" shrinkToFit="1"/>
      <protection locked="0" hidden="1"/>
    </xf>
    <xf numFmtId="49" fontId="5" fillId="0" borderId="2" xfId="0" applyNumberFormat="1" applyFont="1" applyFill="1" applyBorder="1" applyAlignment="1" applyProtection="1">
      <alignment vertical="center" shrinkToFit="1"/>
      <protection locked="0" hidden="1"/>
    </xf>
    <xf numFmtId="0" fontId="2" fillId="6" borderId="9" xfId="0" applyFont="1" applyFill="1" applyBorder="1" applyAlignment="1" applyProtection="1">
      <alignment horizontal="center" vertical="center" wrapText="1"/>
      <protection hidden="1"/>
    </xf>
    <xf numFmtId="180" fontId="5" fillId="0" borderId="1" xfId="0" applyNumberFormat="1" applyFont="1" applyBorder="1" applyAlignment="1" applyProtection="1">
      <alignment horizontal="center" vertical="center" shrinkToFit="1"/>
      <protection locked="0" hidden="1"/>
    </xf>
    <xf numFmtId="180" fontId="5" fillId="0" borderId="6" xfId="0" applyNumberFormat="1" applyFont="1" applyBorder="1" applyAlignment="1" applyProtection="1">
      <alignment horizontal="center" vertical="center" shrinkToFit="1"/>
      <protection locked="0" hidden="1"/>
    </xf>
    <xf numFmtId="0" fontId="2" fillId="6" borderId="2" xfId="0" applyFont="1" applyFill="1" applyBorder="1" applyAlignment="1" applyProtection="1">
      <alignment horizontal="center" vertical="center" shrinkToFit="1"/>
      <protection locked="0" hidden="1"/>
    </xf>
    <xf numFmtId="0" fontId="2" fillId="6" borderId="2" xfId="0" applyFont="1" applyFill="1" applyBorder="1" applyAlignment="1" applyProtection="1">
      <alignment vertical="center" shrinkToFit="1"/>
      <protection locked="0" hidden="1"/>
    </xf>
    <xf numFmtId="49" fontId="5" fillId="0" borderId="1" xfId="0" applyNumberFormat="1" applyFont="1" applyFill="1" applyBorder="1" applyAlignment="1" applyProtection="1">
      <alignment horizontal="center" vertical="center" shrinkToFit="1"/>
      <protection locked="0" hidden="1"/>
    </xf>
    <xf numFmtId="49" fontId="5" fillId="0" borderId="9" xfId="0" applyNumberFormat="1" applyFont="1" applyFill="1" applyBorder="1" applyAlignment="1" applyProtection="1">
      <alignment horizontal="center" vertical="center" shrinkToFit="1"/>
      <protection locked="0" hidden="1"/>
    </xf>
    <xf numFmtId="49" fontId="5" fillId="0" borderId="6" xfId="0" applyNumberFormat="1" applyFont="1" applyFill="1" applyBorder="1" applyAlignment="1" applyProtection="1">
      <alignment horizontal="center" vertical="center" shrinkToFit="1"/>
      <protection locked="0" hidden="1"/>
    </xf>
    <xf numFmtId="180" fontId="21" fillId="0" borderId="2" xfId="0" applyNumberFormat="1" applyFont="1" applyBorder="1" applyAlignment="1" applyProtection="1">
      <alignment horizontal="center" vertical="center" shrinkToFit="1"/>
      <protection locked="0" hidden="1"/>
    </xf>
    <xf numFmtId="183" fontId="21" fillId="0" borderId="2" xfId="0" applyNumberFormat="1" applyFont="1" applyFill="1" applyBorder="1" applyAlignment="1" applyProtection="1">
      <alignment horizontal="center" vertical="center" shrinkToFit="1"/>
      <protection locked="0" hidden="1"/>
    </xf>
    <xf numFmtId="184" fontId="5" fillId="6" borderId="2" xfId="0" applyNumberFormat="1" applyFont="1" applyFill="1" applyBorder="1" applyAlignment="1" applyProtection="1">
      <alignment horizontal="center" vertical="center" shrinkToFit="1"/>
      <protection hidden="1"/>
    </xf>
    <xf numFmtId="185" fontId="7" fillId="2" borderId="2" xfId="0" applyNumberFormat="1" applyFont="1" applyFill="1" applyBorder="1" applyAlignment="1" applyProtection="1">
      <alignment horizontal="center" vertical="center"/>
      <protection locked="0" hidden="1"/>
    </xf>
    <xf numFmtId="49" fontId="21" fillId="6" borderId="6" xfId="0" applyNumberFormat="1" applyFont="1" applyFill="1" applyBorder="1" applyAlignment="1" applyProtection="1">
      <alignment horizontal="center" vertical="center" shrinkToFit="1"/>
      <protection hidden="1"/>
    </xf>
    <xf numFmtId="184" fontId="21" fillId="6" borderId="2" xfId="0" applyNumberFormat="1" applyFont="1" applyFill="1" applyBorder="1" applyAlignment="1" applyProtection="1">
      <alignment horizontal="center" vertical="center" shrinkToFit="1"/>
      <protection hidden="1"/>
    </xf>
    <xf numFmtId="0" fontId="3" fillId="6" borderId="2" xfId="0" applyFont="1" applyFill="1" applyBorder="1" applyAlignment="1" applyProtection="1">
      <alignment horizontal="center" vertical="center" wrapText="1" shrinkToFit="1"/>
      <protection hidden="1"/>
    </xf>
    <xf numFmtId="176" fontId="21" fillId="0" borderId="2" xfId="0" applyNumberFormat="1" applyFont="1" applyFill="1" applyBorder="1" applyAlignment="1" applyProtection="1">
      <alignment horizontal="center" vertical="center" shrinkToFit="1"/>
      <protection locked="0" hidden="1"/>
    </xf>
    <xf numFmtId="184" fontId="21" fillId="0" borderId="2" xfId="0" applyNumberFormat="1" applyFont="1" applyFill="1" applyBorder="1" applyAlignment="1" applyProtection="1">
      <alignment horizontal="center" vertical="center" shrinkToFit="1"/>
      <protection locked="0" hidden="1"/>
    </xf>
    <xf numFmtId="0" fontId="7" fillId="7" borderId="2" xfId="0" applyFont="1" applyFill="1" applyBorder="1" applyAlignment="1" applyProtection="1">
      <alignment horizontal="center" vertical="center"/>
      <protection locked="0" hidden="1"/>
    </xf>
    <xf numFmtId="177" fontId="5" fillId="0" borderId="2" xfId="0" applyNumberFormat="1" applyFont="1" applyBorder="1" applyAlignment="1" applyProtection="1">
      <alignment horizontal="center" vertical="center" shrinkToFit="1"/>
      <protection locked="0" hidden="1"/>
    </xf>
    <xf numFmtId="177" fontId="7" fillId="2" borderId="2" xfId="0" applyNumberFormat="1" applyFont="1" applyFill="1" applyBorder="1" applyAlignment="1" applyProtection="1">
      <alignment horizontal="center" vertical="center"/>
      <protection locked="0" hidden="1"/>
    </xf>
    <xf numFmtId="177" fontId="7" fillId="7" borderId="2" xfId="0" applyNumberFormat="1" applyFont="1" applyFill="1" applyBorder="1" applyAlignment="1" applyProtection="1">
      <alignment horizontal="center" vertical="center"/>
      <protection locked="0" hidden="1"/>
    </xf>
    <xf numFmtId="183" fontId="5" fillId="0" borderId="2" xfId="0" applyNumberFormat="1" applyFont="1" applyFill="1" applyBorder="1" applyAlignment="1" applyProtection="1">
      <alignment horizontal="center" vertical="center" shrinkToFit="1"/>
      <protection locked="0" hidden="1"/>
    </xf>
    <xf numFmtId="183" fontId="21" fillId="0" borderId="2" xfId="0" applyNumberFormat="1" applyFont="1" applyBorder="1" applyAlignment="1" applyProtection="1">
      <alignment horizontal="center" vertical="center" shrinkToFit="1"/>
      <protection locked="0" hidden="1"/>
    </xf>
    <xf numFmtId="177" fontId="5" fillId="6" borderId="2" xfId="0" applyNumberFormat="1" applyFont="1" applyFill="1" applyBorder="1" applyAlignment="1" applyProtection="1">
      <alignment horizontal="center" vertical="center" shrinkToFit="1"/>
      <protection hidden="1"/>
    </xf>
    <xf numFmtId="186" fontId="21" fillId="6" borderId="2" xfId="0" applyNumberFormat="1" applyFont="1" applyFill="1" applyBorder="1" applyAlignment="1" applyProtection="1">
      <alignment horizontal="center" vertical="center" shrinkToFit="1"/>
      <protection hidden="1"/>
    </xf>
    <xf numFmtId="0" fontId="2" fillId="6" borderId="9" xfId="0" applyFont="1" applyFill="1" applyBorder="1" applyAlignment="1" applyProtection="1">
      <alignment horizontal="center" vertical="center" wrapText="1" shrinkToFit="1"/>
      <protection hidden="1"/>
    </xf>
    <xf numFmtId="49" fontId="21" fillId="0" borderId="2" xfId="0" applyNumberFormat="1" applyFont="1" applyFill="1" applyBorder="1" applyAlignment="1" applyProtection="1">
      <alignment vertical="center" shrinkToFit="1"/>
      <protection locked="0" hidden="1"/>
    </xf>
    <xf numFmtId="0" fontId="21" fillId="0" borderId="2" xfId="0" applyNumberFormat="1" applyFont="1" applyFill="1" applyBorder="1" applyAlignment="1" applyProtection="1">
      <alignment horizontal="center" vertical="center" shrinkToFit="1"/>
      <protection locked="0" hidden="1"/>
    </xf>
    <xf numFmtId="0" fontId="7" fillId="2" borderId="1" xfId="0" applyFont="1" applyFill="1" applyBorder="1" applyAlignment="1" applyProtection="1">
      <alignment horizontal="center" vertical="center" shrinkToFit="1"/>
      <protection locked="0" hidden="1"/>
    </xf>
    <xf numFmtId="0" fontId="7" fillId="2" borderId="6" xfId="0" applyFont="1" applyFill="1" applyBorder="1" applyAlignment="1" applyProtection="1">
      <alignment horizontal="center" vertical="center" shrinkToFit="1"/>
      <protection locked="0" hidden="1"/>
    </xf>
    <xf numFmtId="0" fontId="7" fillId="2" borderId="2" xfId="0" applyFont="1" applyFill="1" applyBorder="1" applyAlignment="1" applyProtection="1">
      <alignment vertical="center" wrapText="1"/>
      <protection locked="0" hidden="1"/>
    </xf>
    <xf numFmtId="180" fontId="7" fillId="2" borderId="2" xfId="0" applyNumberFormat="1" applyFont="1" applyFill="1" applyBorder="1" applyAlignment="1" applyProtection="1">
      <alignment horizontal="center" vertical="center"/>
      <protection locked="0" hidden="1"/>
    </xf>
    <xf numFmtId="0" fontId="0" fillId="0" borderId="2" xfId="0" applyBorder="1" applyAlignment="1" applyProtection="1">
      <alignment horizontal="center" vertical="center" wrapText="1"/>
    </xf>
    <xf numFmtId="0" fontId="0" fillId="0" borderId="2" xfId="0" applyBorder="1" applyAlignment="1" applyProtection="1">
      <alignment vertical="center"/>
    </xf>
    <xf numFmtId="0" fontId="0" fillId="0" borderId="2" xfId="0" applyBorder="1" applyAlignment="1" applyProtection="1">
      <alignment horizontal="center" vertical="center"/>
    </xf>
    <xf numFmtId="49" fontId="5" fillId="0" borderId="9" xfId="0" applyNumberFormat="1" applyFont="1" applyFill="1" applyBorder="1" applyAlignment="1" applyProtection="1">
      <alignment horizontal="center" vertical="center" wrapText="1" shrinkToFit="1"/>
      <protection locked="0" hidden="1"/>
    </xf>
    <xf numFmtId="0" fontId="18" fillId="6" borderId="2" xfId="0" applyFont="1" applyFill="1" applyBorder="1" applyAlignment="1" applyProtection="1">
      <alignment horizontal="left" vertical="center" wrapText="1"/>
      <protection hidden="1"/>
    </xf>
    <xf numFmtId="0" fontId="22" fillId="6" borderId="3" xfId="0" applyFont="1" applyFill="1" applyBorder="1" applyAlignment="1" applyProtection="1">
      <alignment horizontal="center" vertical="center" wrapText="1"/>
      <protection hidden="1"/>
    </xf>
    <xf numFmtId="177" fontId="0" fillId="6" borderId="1" xfId="0" applyNumberFormat="1" applyFont="1" applyFill="1" applyBorder="1" applyAlignment="1" applyProtection="1">
      <alignment horizontal="center" vertical="center" shrinkToFit="1"/>
      <protection hidden="1"/>
    </xf>
    <xf numFmtId="177" fontId="0" fillId="6" borderId="9" xfId="0" applyNumberFormat="1" applyFont="1" applyFill="1" applyBorder="1" applyAlignment="1" applyProtection="1">
      <alignment horizontal="center" vertical="center" shrinkToFit="1"/>
      <protection hidden="1"/>
    </xf>
    <xf numFmtId="177" fontId="0" fillId="6" borderId="6" xfId="0" applyNumberFormat="1" applyFont="1" applyFill="1" applyBorder="1" applyAlignment="1" applyProtection="1">
      <alignment horizontal="center" vertical="center" shrinkToFit="1"/>
      <protection hidden="1"/>
    </xf>
    <xf numFmtId="177" fontId="0" fillId="6" borderId="1" xfId="0" applyNumberFormat="1" applyFont="1" applyFill="1" applyBorder="1" applyAlignment="1" applyProtection="1">
      <alignment horizontal="center" vertical="center" wrapText="1" shrinkToFit="1"/>
      <protection hidden="1"/>
    </xf>
    <xf numFmtId="177" fontId="0" fillId="6" borderId="6" xfId="0" applyNumberFormat="1" applyFont="1" applyFill="1" applyBorder="1" applyAlignment="1" applyProtection="1">
      <alignment horizontal="center" vertical="center" wrapText="1" shrinkToFit="1"/>
      <protection hidden="1"/>
    </xf>
    <xf numFmtId="177" fontId="0" fillId="6" borderId="2" xfId="0" applyNumberFormat="1" applyFont="1" applyFill="1" applyBorder="1" applyAlignment="1" applyProtection="1">
      <alignment horizontal="center" vertical="center" shrinkToFit="1"/>
      <protection hidden="1"/>
    </xf>
    <xf numFmtId="0" fontId="22" fillId="6" borderId="4" xfId="0" applyFont="1" applyFill="1" applyBorder="1" applyAlignment="1" applyProtection="1">
      <alignment horizontal="center" vertical="center" wrapText="1"/>
      <protection hidden="1"/>
    </xf>
    <xf numFmtId="177" fontId="0" fillId="6" borderId="1" xfId="0" applyNumberFormat="1" applyFont="1" applyFill="1" applyBorder="1" applyAlignment="1" applyProtection="1">
      <alignment horizontal="center" vertical="center"/>
      <protection hidden="1"/>
    </xf>
    <xf numFmtId="177" fontId="0" fillId="6" borderId="9" xfId="0" applyNumberFormat="1" applyFont="1" applyFill="1" applyBorder="1" applyAlignment="1" applyProtection="1">
      <alignment horizontal="center" vertical="center"/>
      <protection hidden="1"/>
    </xf>
    <xf numFmtId="177" fontId="0" fillId="6" borderId="6" xfId="0" applyNumberFormat="1" applyFont="1" applyFill="1" applyBorder="1" applyAlignment="1" applyProtection="1">
      <alignment horizontal="center" vertical="center"/>
      <protection hidden="1"/>
    </xf>
    <xf numFmtId="177" fontId="0" fillId="6" borderId="2" xfId="0" applyNumberFormat="1" applyFont="1" applyFill="1" applyBorder="1" applyAlignment="1" applyProtection="1">
      <alignment horizontal="center" vertical="center"/>
      <protection hidden="1"/>
    </xf>
    <xf numFmtId="0" fontId="22" fillId="6" borderId="3" xfId="0" applyFont="1" applyFill="1" applyBorder="1" applyAlignment="1" applyProtection="1">
      <alignment horizontal="center" vertical="center" wrapText="1" shrinkToFit="1"/>
      <protection hidden="1"/>
    </xf>
    <xf numFmtId="0" fontId="23" fillId="6" borderId="1" xfId="0" applyFont="1" applyFill="1" applyBorder="1" applyAlignment="1" applyProtection="1">
      <alignment horizontal="center" vertical="center" wrapText="1"/>
      <protection hidden="1"/>
    </xf>
    <xf numFmtId="0" fontId="23" fillId="6" borderId="6" xfId="0" applyFont="1" applyFill="1" applyBorder="1" applyAlignment="1" applyProtection="1">
      <alignment horizontal="center" vertical="center" wrapText="1"/>
      <protection hidden="1"/>
    </xf>
    <xf numFmtId="0" fontId="23" fillId="6" borderId="2" xfId="0" applyFont="1" applyFill="1" applyBorder="1" applyAlignment="1" applyProtection="1">
      <alignment horizontal="center" vertical="center" wrapText="1"/>
      <protection hidden="1"/>
    </xf>
    <xf numFmtId="0" fontId="23" fillId="6" borderId="6" xfId="0" applyFont="1" applyFill="1" applyBorder="1" applyAlignment="1" applyProtection="1">
      <alignment vertical="center" wrapText="1"/>
      <protection hidden="1"/>
    </xf>
    <xf numFmtId="0" fontId="22" fillId="6" borderId="10" xfId="0" applyFont="1" applyFill="1" applyBorder="1" applyAlignment="1" applyProtection="1">
      <alignment horizontal="center" vertical="center" wrapText="1" shrinkToFit="1"/>
      <protection hidden="1"/>
    </xf>
    <xf numFmtId="0" fontId="23" fillId="6" borderId="1" xfId="0" applyFont="1" applyFill="1" applyBorder="1" applyAlignment="1" applyProtection="1">
      <alignment horizontal="center" vertical="center" shrinkToFit="1"/>
      <protection hidden="1"/>
    </xf>
    <xf numFmtId="0" fontId="23" fillId="6" borderId="6" xfId="0" applyFont="1" applyFill="1" applyBorder="1" applyAlignment="1" applyProtection="1">
      <alignment horizontal="center" vertical="center" shrinkToFit="1"/>
      <protection hidden="1"/>
    </xf>
    <xf numFmtId="0" fontId="23" fillId="6" borderId="1" xfId="0" applyFont="1" applyFill="1" applyBorder="1" applyAlignment="1" applyProtection="1">
      <alignment horizontal="center" vertical="center" wrapText="1" shrinkToFit="1"/>
      <protection hidden="1"/>
    </xf>
    <xf numFmtId="0" fontId="23" fillId="6" borderId="6" xfId="0" applyFont="1" applyFill="1" applyBorder="1" applyAlignment="1" applyProtection="1">
      <alignment vertical="center" wrapText="1" shrinkToFit="1"/>
      <protection hidden="1"/>
    </xf>
    <xf numFmtId="0" fontId="22" fillId="6" borderId="4" xfId="0" applyFont="1" applyFill="1" applyBorder="1" applyAlignment="1" applyProtection="1">
      <alignment horizontal="center" vertical="center" wrapText="1" shrinkToFit="1"/>
      <protection hidden="1"/>
    </xf>
    <xf numFmtId="0" fontId="23" fillId="6" borderId="6" xfId="0" applyFont="1" applyFill="1" applyBorder="1" applyAlignment="1" applyProtection="1">
      <alignment horizontal="center" vertical="center" wrapText="1" shrinkToFit="1"/>
      <protection hidden="1"/>
    </xf>
    <xf numFmtId="177" fontId="23" fillId="6" borderId="1" xfId="0" applyNumberFormat="1" applyFont="1" applyFill="1" applyBorder="1" applyAlignment="1" applyProtection="1">
      <alignment horizontal="center" vertical="center" shrinkToFit="1"/>
      <protection hidden="1"/>
    </xf>
    <xf numFmtId="177" fontId="23" fillId="6" borderId="6" xfId="0" applyNumberFormat="1" applyFont="1" applyFill="1" applyBorder="1" applyAlignment="1" applyProtection="1">
      <alignment horizontal="center" vertical="center" shrinkToFit="1"/>
      <protection hidden="1"/>
    </xf>
    <xf numFmtId="177" fontId="23" fillId="6" borderId="2" xfId="0" applyNumberFormat="1" applyFont="1" applyFill="1" applyBorder="1" applyAlignment="1" applyProtection="1">
      <alignment horizontal="center" vertical="center" shrinkToFit="1"/>
      <protection hidden="1"/>
    </xf>
    <xf numFmtId="0" fontId="23" fillId="6" borderId="9" xfId="0" applyFont="1" applyFill="1" applyBorder="1" applyAlignment="1" applyProtection="1">
      <alignment horizontal="center" vertical="center" wrapText="1" shrinkToFit="1"/>
      <protection hidden="1"/>
    </xf>
    <xf numFmtId="0" fontId="23" fillId="6" borderId="9" xfId="0" applyFont="1" applyFill="1" applyBorder="1" applyAlignment="1" applyProtection="1">
      <alignment horizontal="center" vertical="center" shrinkToFit="1"/>
      <protection hidden="1"/>
    </xf>
    <xf numFmtId="177" fontId="23" fillId="6" borderId="1" xfId="0" applyNumberFormat="1" applyFont="1" applyFill="1" applyBorder="1" applyAlignment="1" applyProtection="1">
      <alignment horizontal="center" vertical="center" wrapText="1" shrinkToFit="1"/>
      <protection hidden="1"/>
    </xf>
    <xf numFmtId="0" fontId="18" fillId="6" borderId="1" xfId="0" applyFont="1" applyFill="1" applyBorder="1" applyAlignment="1" applyProtection="1">
      <alignment horizontal="center" vertical="center"/>
      <protection hidden="1"/>
    </xf>
    <xf numFmtId="0" fontId="18" fillId="6" borderId="9" xfId="0" applyFont="1" applyFill="1" applyBorder="1" applyAlignment="1" applyProtection="1">
      <alignment horizontal="center" vertical="center"/>
      <protection hidden="1"/>
    </xf>
    <xf numFmtId="0" fontId="18" fillId="6" borderId="6" xfId="0" applyFont="1" applyFill="1" applyBorder="1" applyAlignment="1" applyProtection="1">
      <alignment horizontal="center" vertical="center"/>
      <protection hidden="1"/>
    </xf>
    <xf numFmtId="0" fontId="24" fillId="6" borderId="2" xfId="0" applyFont="1" applyFill="1" applyBorder="1" applyAlignment="1" applyProtection="1">
      <alignment horizontal="left" vertical="center" wrapText="1"/>
      <protection hidden="1"/>
    </xf>
    <xf numFmtId="184" fontId="25" fillId="6" borderId="1" xfId="0" applyNumberFormat="1" applyFont="1" applyFill="1" applyBorder="1" applyAlignment="1" applyProtection="1">
      <alignment horizontal="center" vertical="center"/>
      <protection hidden="1"/>
    </xf>
    <xf numFmtId="184" fontId="25" fillId="6" borderId="9" xfId="0" applyNumberFormat="1" applyFont="1" applyFill="1" applyBorder="1" applyAlignment="1" applyProtection="1">
      <alignment horizontal="center" vertical="center"/>
      <protection hidden="1"/>
    </xf>
    <xf numFmtId="184" fontId="25" fillId="6" borderId="6" xfId="0" applyNumberFormat="1" applyFont="1" applyFill="1" applyBorder="1" applyAlignment="1" applyProtection="1">
      <alignment horizontal="center" vertical="center"/>
      <protection hidden="1"/>
    </xf>
    <xf numFmtId="184" fontId="20" fillId="6" borderId="1" xfId="0" applyNumberFormat="1" applyFont="1" applyFill="1" applyBorder="1" applyAlignment="1" applyProtection="1">
      <alignment horizontal="center" vertical="center"/>
      <protection hidden="1"/>
    </xf>
    <xf numFmtId="184" fontId="20" fillId="6" borderId="6" xfId="0" applyNumberFormat="1" applyFont="1" applyFill="1" applyBorder="1" applyAlignment="1" applyProtection="1">
      <alignment horizontal="center" vertical="center"/>
      <protection hidden="1"/>
    </xf>
    <xf numFmtId="183" fontId="23" fillId="6" borderId="2" xfId="0" applyNumberFormat="1" applyFont="1" applyFill="1" applyBorder="1" applyAlignment="1" applyProtection="1">
      <alignment horizontal="center" vertical="center" wrapText="1"/>
      <protection hidden="1"/>
    </xf>
    <xf numFmtId="183" fontId="3" fillId="6" borderId="1" xfId="0" applyNumberFormat="1" applyFont="1" applyFill="1" applyBorder="1" applyAlignment="1" applyProtection="1">
      <alignment horizontal="center" vertical="center" wrapText="1"/>
      <protection hidden="1"/>
    </xf>
    <xf numFmtId="183" fontId="3" fillId="6" borderId="6" xfId="0" applyNumberFormat="1" applyFont="1" applyFill="1" applyBorder="1" applyAlignment="1" applyProtection="1">
      <alignment horizontal="center" vertical="center" wrapText="1"/>
      <protection hidden="1"/>
    </xf>
    <xf numFmtId="177" fontId="25" fillId="6" borderId="2" xfId="0" applyNumberFormat="1" applyFont="1" applyFill="1" applyBorder="1" applyAlignment="1" applyProtection="1">
      <alignment horizontal="center" vertical="center"/>
      <protection hidden="1"/>
    </xf>
    <xf numFmtId="177" fontId="25" fillId="6" borderId="1" xfId="0" applyNumberFormat="1" applyFont="1" applyFill="1" applyBorder="1" applyAlignment="1" applyProtection="1">
      <alignment horizontal="center" vertical="center"/>
      <protection hidden="1"/>
    </xf>
    <xf numFmtId="177" fontId="25" fillId="6" borderId="6" xfId="0" applyNumberFormat="1" applyFont="1" applyFill="1" applyBorder="1" applyAlignment="1" applyProtection="1">
      <alignment horizontal="center" vertical="center"/>
      <protection hidden="1"/>
    </xf>
    <xf numFmtId="0" fontId="23" fillId="6" borderId="9" xfId="0" applyFont="1" applyFill="1" applyBorder="1" applyAlignment="1" applyProtection="1">
      <alignment horizontal="center" vertical="center" wrapText="1"/>
      <protection hidden="1"/>
    </xf>
    <xf numFmtId="177" fontId="25" fillId="6" borderId="2" xfId="0" applyNumberFormat="1" applyFont="1" applyFill="1" applyBorder="1" applyAlignment="1" applyProtection="1">
      <alignment horizontal="center" vertical="center" wrapText="1"/>
      <protection hidden="1"/>
    </xf>
    <xf numFmtId="177" fontId="25" fillId="6" borderId="2" xfId="0" applyNumberFormat="1" applyFont="1" applyFill="1" applyBorder="1" applyAlignment="1" applyProtection="1">
      <alignment vertical="center" wrapText="1"/>
      <protection hidden="1"/>
    </xf>
    <xf numFmtId="183" fontId="22" fillId="6" borderId="1" xfId="0" applyNumberFormat="1" applyFont="1" applyFill="1" applyBorder="1" applyAlignment="1" applyProtection="1">
      <alignment horizontal="center" vertical="center" wrapText="1"/>
      <protection hidden="1"/>
    </xf>
    <xf numFmtId="183" fontId="22" fillId="6" borderId="6" xfId="0" applyNumberFormat="1" applyFont="1" applyFill="1" applyBorder="1" applyAlignment="1" applyProtection="1">
      <alignment horizontal="center" vertical="center"/>
      <protection hidden="1"/>
    </xf>
    <xf numFmtId="177" fontId="25" fillId="6" borderId="2" xfId="0" applyNumberFormat="1" applyFont="1" applyFill="1" applyBorder="1" applyAlignment="1" applyProtection="1">
      <alignment vertical="center"/>
      <protection hidden="1"/>
    </xf>
    <xf numFmtId="177" fontId="20" fillId="6" borderId="2" xfId="0" applyNumberFormat="1" applyFont="1" applyFill="1" applyBorder="1" applyAlignment="1" applyProtection="1">
      <alignment horizontal="center" vertical="center"/>
      <protection hidden="1"/>
    </xf>
    <xf numFmtId="183" fontId="23" fillId="6" borderId="1" xfId="0" applyNumberFormat="1" applyFont="1" applyFill="1" applyBorder="1" applyAlignment="1" applyProtection="1">
      <alignment horizontal="center" vertical="center" wrapText="1"/>
      <protection hidden="1"/>
    </xf>
    <xf numFmtId="183" fontId="23" fillId="6" borderId="9" xfId="0" applyNumberFormat="1" applyFont="1" applyFill="1" applyBorder="1" applyAlignment="1" applyProtection="1">
      <alignment horizontal="center" vertical="center" wrapText="1"/>
      <protection hidden="1"/>
    </xf>
    <xf numFmtId="183" fontId="3" fillId="6" borderId="2" xfId="0" applyNumberFormat="1" applyFont="1" applyFill="1" applyBorder="1" applyAlignment="1" applyProtection="1">
      <alignment horizontal="center" vertical="center" wrapText="1"/>
      <protection hidden="1"/>
    </xf>
    <xf numFmtId="177" fontId="25" fillId="6" borderId="9" xfId="0" applyNumberFormat="1" applyFont="1" applyFill="1" applyBorder="1" applyAlignment="1" applyProtection="1">
      <alignment horizontal="center" vertical="center"/>
      <protection hidden="1"/>
    </xf>
    <xf numFmtId="177" fontId="23" fillId="6" borderId="9" xfId="0" applyNumberFormat="1" applyFont="1" applyFill="1" applyBorder="1" applyAlignment="1" applyProtection="1">
      <alignment horizontal="center" vertical="center" shrinkToFit="1"/>
      <protection hidden="1"/>
    </xf>
    <xf numFmtId="183" fontId="23" fillId="6" borderId="6" xfId="0" applyNumberFormat="1" applyFont="1" applyFill="1" applyBorder="1" applyAlignment="1" applyProtection="1">
      <alignment horizontal="center" vertical="center" wrapText="1"/>
      <protection hidden="1"/>
    </xf>
    <xf numFmtId="177" fontId="23" fillId="6" borderId="6" xfId="0" applyNumberFormat="1" applyFont="1" applyFill="1" applyBorder="1" applyAlignment="1" applyProtection="1">
      <alignment vertical="center" shrinkToFit="1"/>
      <protection hidden="1"/>
    </xf>
    <xf numFmtId="177" fontId="22" fillId="6" borderId="1" xfId="0" applyNumberFormat="1" applyFont="1" applyFill="1" applyBorder="1" applyAlignment="1" applyProtection="1">
      <alignment horizontal="center" vertical="center" shrinkToFit="1"/>
      <protection hidden="1"/>
    </xf>
    <xf numFmtId="177" fontId="22" fillId="6" borderId="6" xfId="0" applyNumberFormat="1" applyFont="1" applyFill="1" applyBorder="1" applyAlignment="1" applyProtection="1">
      <alignment horizontal="center" vertical="center" shrinkToFit="1"/>
      <protection hidden="1"/>
    </xf>
    <xf numFmtId="0" fontId="23" fillId="6" borderId="2" xfId="0" applyFont="1" applyFill="1" applyBorder="1" applyAlignment="1" applyProtection="1">
      <alignment horizontal="center" vertical="center" shrinkToFit="1"/>
      <protection hidden="1"/>
    </xf>
    <xf numFmtId="184" fontId="13" fillId="6" borderId="2" xfId="0" applyNumberFormat="1" applyFont="1" applyFill="1" applyBorder="1" applyAlignment="1" applyProtection="1">
      <alignment horizontal="center" vertical="center"/>
      <protection hidden="1"/>
    </xf>
    <xf numFmtId="0" fontId="7" fillId="2" borderId="2" xfId="0" applyFont="1" applyFill="1" applyBorder="1" applyAlignment="1" applyProtection="1">
      <alignment vertical="center" wrapText="1" shrinkToFit="1"/>
      <protection locked="0" hidden="1"/>
    </xf>
    <xf numFmtId="177" fontId="7" fillId="2" borderId="1" xfId="0" applyNumberFormat="1" applyFont="1" applyFill="1" applyBorder="1" applyAlignment="1" applyProtection="1">
      <alignment horizontal="center" vertical="center"/>
      <protection locked="0" hidden="1"/>
    </xf>
    <xf numFmtId="0" fontId="0" fillId="0" borderId="6" xfId="0" applyFill="1" applyBorder="1" applyProtection="1">
      <alignment vertical="center"/>
      <protection hidden="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李格非" xfId="49"/>
    <cellStyle name="常规_中南财经政法大学专业技术岗位晋升聘用申报表" xfId="50"/>
    <cellStyle name="常规 2" xfId="51"/>
  </cellStyles>
  <tableStyles count="0" defaultTableStyle="TableStyleMedium9" defaultPivotStyle="PivotStyleLight16"/>
  <colors>
    <mruColors>
      <color rgb="00CCCC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T213"/>
  <sheetViews>
    <sheetView tabSelected="1" workbookViewId="0">
      <selection activeCell="G9" sqref="G9:H9"/>
    </sheetView>
  </sheetViews>
  <sheetFormatPr defaultColWidth="9" defaultRowHeight="14.25"/>
  <cols>
    <col min="1" max="1" width="11.125" style="27" customWidth="1"/>
    <col min="2" max="2" width="14.375" style="28" customWidth="1"/>
    <col min="3" max="3" width="7.25" style="29" customWidth="1"/>
    <col min="4" max="4" width="6.75" style="29" customWidth="1"/>
    <col min="5" max="5" width="12.125" style="29" customWidth="1"/>
    <col min="6" max="6" width="5.5" style="29" customWidth="1"/>
    <col min="7" max="7" width="11.5" style="29" customWidth="1"/>
    <col min="8" max="8" width="7.75" style="29" customWidth="1"/>
    <col min="9" max="9" width="8" style="29" customWidth="1"/>
    <col min="10" max="10" width="9.5" style="29" customWidth="1"/>
    <col min="11" max="11" width="8.75" style="29" customWidth="1"/>
    <col min="12" max="12" width="7" style="29" customWidth="1"/>
    <col min="13" max="13" width="8.375" style="29" customWidth="1"/>
    <col min="14" max="14" width="10.125" style="29" customWidth="1"/>
    <col min="15" max="15" width="10.25" style="30" customWidth="1"/>
    <col min="16" max="16" width="16" style="30" hidden="1" customWidth="1"/>
    <col min="17" max="17" width="13.375" style="30" hidden="1" customWidth="1"/>
    <col min="18" max="18" width="13.375" style="31" hidden="1" customWidth="1"/>
    <col min="19" max="19" width="11.125" style="30" hidden="1" customWidth="1"/>
    <col min="20" max="20" width="13.125" style="30" hidden="1" customWidth="1"/>
    <col min="21" max="21" width="11.375" style="30" hidden="1" customWidth="1"/>
    <col min="22" max="22" width="14.125" style="30" hidden="1" customWidth="1"/>
    <col min="23" max="23" width="14.375" style="30" hidden="1" customWidth="1"/>
    <col min="24" max="26" width="12" style="30" hidden="1" customWidth="1"/>
    <col min="27" max="27" width="13.125" style="30" hidden="1" customWidth="1"/>
    <col min="28" max="28" width="14.5" style="30" hidden="1" customWidth="1"/>
    <col min="29" max="29" width="16.375" style="30" hidden="1" customWidth="1"/>
    <col min="30" max="30" width="13.625" style="30" hidden="1" customWidth="1"/>
    <col min="31" max="31" width="12.875" style="30" hidden="1" customWidth="1"/>
    <col min="32" max="33" width="9" style="30" hidden="1" customWidth="1"/>
    <col min="34" max="35" width="11.875" style="30" hidden="1" customWidth="1"/>
    <col min="36" max="36" width="11.875" style="32" hidden="1" customWidth="1"/>
    <col min="37" max="37" width="9" style="33" customWidth="1"/>
    <col min="38" max="40" width="9" style="34" customWidth="1"/>
    <col min="41" max="60" width="9" style="34"/>
    <col min="61" max="71" width="9" style="27"/>
    <col min="72" max="72" width="9" style="28"/>
    <col min="73" max="16384" width="9" style="29"/>
  </cols>
  <sheetData>
    <row r="1" spans="1:60">
      <c r="A1" s="35"/>
      <c r="B1" s="36" t="s">
        <v>0</v>
      </c>
      <c r="C1" s="36" t="s">
        <v>1</v>
      </c>
      <c r="D1" s="37"/>
      <c r="E1" s="37"/>
      <c r="F1" s="37"/>
      <c r="G1" s="37"/>
      <c r="H1" s="37"/>
      <c r="I1" s="37"/>
      <c r="J1" s="37"/>
      <c r="K1" s="37"/>
      <c r="L1" s="37"/>
      <c r="M1" s="37"/>
      <c r="N1" s="37"/>
      <c r="O1" s="37"/>
      <c r="P1" s="104"/>
      <c r="AK1" s="133"/>
      <c r="AL1" s="133"/>
      <c r="AM1" s="133"/>
      <c r="AN1" s="133"/>
      <c r="AO1" s="133"/>
      <c r="AP1" s="133"/>
      <c r="AQ1" s="133"/>
      <c r="AR1" s="133"/>
      <c r="AS1" s="133"/>
      <c r="AT1" s="133"/>
      <c r="AU1" s="133"/>
      <c r="AV1" s="133"/>
      <c r="AW1" s="133"/>
      <c r="AX1" s="133"/>
      <c r="AY1" s="133"/>
      <c r="AZ1" s="133"/>
      <c r="BA1" s="133"/>
      <c r="BB1" s="133"/>
      <c r="BC1" s="133"/>
      <c r="BD1" s="133"/>
      <c r="BE1" s="133"/>
      <c r="BF1" s="133"/>
      <c r="BG1" s="133"/>
      <c r="BH1" s="133"/>
    </row>
    <row r="2" spans="1:60">
      <c r="A2" s="35"/>
      <c r="B2" s="36"/>
      <c r="C2" s="37" t="s">
        <v>2</v>
      </c>
      <c r="D2" s="37"/>
      <c r="E2" s="37"/>
      <c r="F2" s="37"/>
      <c r="G2" s="37"/>
      <c r="H2" s="37"/>
      <c r="I2" s="37"/>
      <c r="J2" s="37"/>
      <c r="K2" s="37"/>
      <c r="L2" s="37"/>
      <c r="M2" s="37"/>
      <c r="N2" s="37"/>
      <c r="O2" s="37"/>
      <c r="P2" s="104"/>
      <c r="AK2" s="133"/>
      <c r="AL2" s="133"/>
      <c r="AM2" s="133"/>
      <c r="AN2" s="133"/>
      <c r="AO2" s="133"/>
      <c r="AP2" s="133"/>
      <c r="AQ2" s="133"/>
      <c r="AR2" s="133"/>
      <c r="AS2" s="133"/>
      <c r="AT2" s="133"/>
      <c r="AU2" s="133"/>
      <c r="AV2" s="133"/>
      <c r="AW2" s="133"/>
      <c r="AX2" s="133"/>
      <c r="AY2" s="133"/>
      <c r="AZ2" s="133"/>
      <c r="BA2" s="133"/>
      <c r="BB2" s="133"/>
      <c r="BC2" s="133"/>
      <c r="BD2" s="133"/>
      <c r="BE2" s="133"/>
      <c r="BF2" s="133"/>
      <c r="BG2" s="133"/>
      <c r="BH2" s="133"/>
    </row>
    <row r="3" spans="1:60">
      <c r="A3" s="35"/>
      <c r="B3" s="36"/>
      <c r="C3" s="37" t="s">
        <v>3</v>
      </c>
      <c r="D3" s="37"/>
      <c r="E3" s="37"/>
      <c r="F3" s="37"/>
      <c r="G3" s="37"/>
      <c r="H3" s="37"/>
      <c r="I3" s="37"/>
      <c r="J3" s="37"/>
      <c r="K3" s="37"/>
      <c r="L3" s="37"/>
      <c r="M3" s="37"/>
      <c r="N3" s="37"/>
      <c r="O3" s="37"/>
      <c r="P3" s="104"/>
      <c r="AK3" s="133"/>
      <c r="AL3" s="133"/>
      <c r="AM3" s="133"/>
      <c r="AN3" s="133"/>
      <c r="AO3" s="133"/>
      <c r="AP3" s="133"/>
      <c r="AQ3" s="133"/>
      <c r="AR3" s="133"/>
      <c r="AS3" s="133"/>
      <c r="AT3" s="133"/>
      <c r="AU3" s="133"/>
      <c r="AV3" s="133"/>
      <c r="AW3" s="133"/>
      <c r="AX3" s="133"/>
      <c r="AY3" s="133"/>
      <c r="AZ3" s="133"/>
      <c r="BA3" s="133"/>
      <c r="BB3" s="133"/>
      <c r="BC3" s="133"/>
      <c r="BD3" s="133"/>
      <c r="BE3" s="133"/>
      <c r="BF3" s="133"/>
      <c r="BG3" s="133"/>
      <c r="BH3" s="133"/>
    </row>
    <row r="4" spans="1:60">
      <c r="A4" s="35"/>
      <c r="B4" s="36"/>
      <c r="C4" s="37" t="s">
        <v>4</v>
      </c>
      <c r="D4" s="37"/>
      <c r="E4" s="37"/>
      <c r="F4" s="37"/>
      <c r="G4" s="37"/>
      <c r="H4" s="37"/>
      <c r="I4" s="37"/>
      <c r="J4" s="37"/>
      <c r="K4" s="37"/>
      <c r="L4" s="37"/>
      <c r="M4" s="37"/>
      <c r="N4" s="37"/>
      <c r="O4" s="37"/>
      <c r="P4" s="104"/>
      <c r="AK4" s="133"/>
      <c r="AL4" s="133"/>
      <c r="AM4" s="133"/>
      <c r="AN4" s="133"/>
      <c r="AO4" s="133"/>
      <c r="AP4" s="133"/>
      <c r="AQ4" s="133"/>
      <c r="AR4" s="133"/>
      <c r="AS4" s="133"/>
      <c r="AT4" s="133"/>
      <c r="AU4" s="133"/>
      <c r="AV4" s="133"/>
      <c r="AW4" s="133"/>
      <c r="AX4" s="133"/>
      <c r="AY4" s="133"/>
      <c r="AZ4" s="133"/>
      <c r="BA4" s="133"/>
      <c r="BB4" s="133"/>
      <c r="BC4" s="133"/>
      <c r="BD4" s="133"/>
      <c r="BE4" s="133"/>
      <c r="BF4" s="133"/>
      <c r="BG4" s="133"/>
      <c r="BH4" s="133"/>
    </row>
    <row r="5" spans="1:60">
      <c r="A5" s="35"/>
      <c r="B5" s="36"/>
      <c r="C5" s="37" t="s">
        <v>5</v>
      </c>
      <c r="D5" s="37"/>
      <c r="E5" s="37"/>
      <c r="F5" s="37"/>
      <c r="G5" s="37"/>
      <c r="H5" s="37"/>
      <c r="I5" s="37"/>
      <c r="J5" s="37"/>
      <c r="K5" s="37"/>
      <c r="L5" s="37"/>
      <c r="M5" s="37"/>
      <c r="N5" s="37"/>
      <c r="O5" s="37"/>
      <c r="P5" s="104"/>
      <c r="AK5" s="133"/>
      <c r="AL5" s="133"/>
      <c r="AM5" s="133"/>
      <c r="AN5" s="133"/>
      <c r="AO5" s="133"/>
      <c r="AP5" s="133"/>
      <c r="AQ5" s="133"/>
      <c r="AR5" s="133"/>
      <c r="AS5" s="133"/>
      <c r="AT5" s="133"/>
      <c r="AU5" s="133"/>
      <c r="AV5" s="133"/>
      <c r="AW5" s="133"/>
      <c r="AX5" s="133"/>
      <c r="AY5" s="133"/>
      <c r="AZ5" s="133"/>
      <c r="BA5" s="133"/>
      <c r="BB5" s="133"/>
      <c r="BC5" s="133"/>
      <c r="BD5" s="133"/>
      <c r="BE5" s="133"/>
      <c r="BF5" s="133"/>
      <c r="BG5" s="133"/>
      <c r="BH5" s="133"/>
    </row>
    <row r="6" ht="23" customHeight="1" spans="1:60">
      <c r="A6" s="35"/>
      <c r="B6" s="38"/>
      <c r="C6" s="38"/>
      <c r="D6" s="38"/>
      <c r="E6" s="38"/>
      <c r="F6" s="38"/>
      <c r="G6" s="38"/>
      <c r="H6" s="38"/>
      <c r="I6" s="38"/>
      <c r="J6" s="38"/>
      <c r="K6" s="38"/>
      <c r="L6" s="38"/>
      <c r="M6" s="38"/>
      <c r="N6" s="38"/>
      <c r="O6" s="105"/>
      <c r="P6" s="106"/>
      <c r="AK6" s="133"/>
      <c r="AL6" s="133"/>
      <c r="AM6" s="133"/>
      <c r="AN6" s="133"/>
      <c r="AO6" s="133"/>
      <c r="AP6" s="133"/>
      <c r="AQ6" s="133"/>
      <c r="AR6" s="133"/>
      <c r="AS6" s="133"/>
      <c r="AT6" s="133"/>
      <c r="AU6" s="133"/>
      <c r="AV6" s="133"/>
      <c r="AW6" s="133"/>
      <c r="AX6" s="133"/>
      <c r="AY6" s="133"/>
      <c r="AZ6" s="133"/>
      <c r="BA6" s="133"/>
      <c r="BB6" s="133"/>
      <c r="BC6" s="133"/>
      <c r="BD6" s="133"/>
      <c r="BE6" s="133"/>
      <c r="BF6" s="133"/>
      <c r="BG6" s="133"/>
      <c r="BH6" s="133"/>
    </row>
    <row r="7" ht="79" customHeight="1" spans="1:60">
      <c r="A7" s="35"/>
      <c r="B7" s="39" t="s">
        <v>6</v>
      </c>
      <c r="C7" s="39"/>
      <c r="D7" s="39"/>
      <c r="E7" s="39"/>
      <c r="F7" s="39"/>
      <c r="G7" s="39"/>
      <c r="H7" s="39"/>
      <c r="I7" s="39"/>
      <c r="J7" s="39"/>
      <c r="K7" s="39"/>
      <c r="L7" s="39"/>
      <c r="M7" s="39"/>
      <c r="N7" s="39"/>
      <c r="O7" s="39"/>
      <c r="P7" s="107"/>
      <c r="Q7" s="104"/>
      <c r="AK7" s="133"/>
      <c r="AL7" s="133"/>
      <c r="AM7" s="133"/>
      <c r="AN7" s="133"/>
      <c r="AO7" s="133"/>
      <c r="AP7" s="133"/>
      <c r="AQ7" s="133"/>
      <c r="AR7" s="133"/>
      <c r="AS7" s="133"/>
      <c r="AT7" s="133"/>
      <c r="AU7" s="133"/>
      <c r="AV7" s="133"/>
      <c r="AW7" s="133"/>
      <c r="AX7" s="133"/>
      <c r="AY7" s="133"/>
      <c r="AZ7" s="133"/>
      <c r="BA7" s="133"/>
      <c r="BB7" s="133"/>
      <c r="BC7" s="133"/>
      <c r="BD7" s="133"/>
      <c r="BE7" s="133"/>
      <c r="BF7" s="133"/>
      <c r="BG7" s="133"/>
      <c r="BH7" s="133"/>
    </row>
    <row r="8" ht="31" customHeight="1" spans="1:60">
      <c r="A8" s="35"/>
      <c r="B8" s="39"/>
      <c r="C8" s="39"/>
      <c r="D8" s="39"/>
      <c r="E8" s="39"/>
      <c r="F8" s="39"/>
      <c r="G8" s="39"/>
      <c r="H8" s="39"/>
      <c r="I8" s="39"/>
      <c r="J8" s="39"/>
      <c r="K8" s="39"/>
      <c r="L8" s="39"/>
      <c r="M8" s="39"/>
      <c r="N8" s="39"/>
      <c r="O8" s="39"/>
      <c r="P8" s="108"/>
      <c r="AK8" s="133"/>
      <c r="AL8" s="133"/>
      <c r="AM8" s="133"/>
      <c r="AN8" s="133"/>
      <c r="AO8" s="133"/>
      <c r="AP8" s="133"/>
      <c r="AQ8" s="133"/>
      <c r="AR8" s="133"/>
      <c r="AS8" s="133"/>
      <c r="AT8" s="133"/>
      <c r="AU8" s="133"/>
      <c r="AV8" s="133"/>
      <c r="AW8" s="133"/>
      <c r="AX8" s="133"/>
      <c r="AY8" s="133"/>
      <c r="AZ8" s="133"/>
      <c r="BA8" s="133"/>
      <c r="BB8" s="133"/>
      <c r="BC8" s="133"/>
      <c r="BD8" s="133"/>
      <c r="BE8" s="133"/>
      <c r="BF8" s="133"/>
      <c r="BG8" s="133"/>
      <c r="BH8" s="133"/>
    </row>
    <row r="9" ht="21" customHeight="1" spans="1:60">
      <c r="A9" s="35"/>
      <c r="B9" s="40"/>
      <c r="C9" s="40"/>
      <c r="D9" s="40"/>
      <c r="E9" s="40"/>
      <c r="F9" s="40"/>
      <c r="G9" s="41"/>
      <c r="H9" s="41"/>
      <c r="I9" s="109" t="s">
        <v>7</v>
      </c>
      <c r="J9" s="109"/>
      <c r="K9" s="40"/>
      <c r="L9" s="40"/>
      <c r="M9" s="40"/>
      <c r="N9" s="40"/>
      <c r="O9" s="105"/>
      <c r="P9" s="104"/>
      <c r="AK9" s="133"/>
      <c r="AL9" s="133"/>
      <c r="AM9" s="133"/>
      <c r="AN9" s="133"/>
      <c r="AO9" s="133"/>
      <c r="AP9" s="133"/>
      <c r="AQ9" s="133"/>
      <c r="AR9" s="133"/>
      <c r="AS9" s="133"/>
      <c r="AT9" s="133"/>
      <c r="AU9" s="133"/>
      <c r="AV9" s="133"/>
      <c r="AW9" s="133"/>
      <c r="AX9" s="133"/>
      <c r="AY9" s="133"/>
      <c r="AZ9" s="133"/>
      <c r="BA9" s="133"/>
      <c r="BB9" s="133"/>
      <c r="BC9" s="133"/>
      <c r="BD9" s="133"/>
      <c r="BE9" s="133"/>
      <c r="BF9" s="133"/>
      <c r="BG9" s="133"/>
      <c r="BH9" s="133"/>
    </row>
    <row r="10" ht="8" customHeight="1" spans="1:60">
      <c r="A10" s="35"/>
      <c r="B10" s="42"/>
      <c r="C10" s="43"/>
      <c r="D10" s="43"/>
      <c r="E10" s="43"/>
      <c r="F10" s="43"/>
      <c r="G10" s="43"/>
      <c r="H10" s="43"/>
      <c r="I10" s="43"/>
      <c r="J10" s="43"/>
      <c r="K10" s="43"/>
      <c r="L10" s="43"/>
      <c r="M10" s="43"/>
      <c r="N10" s="43"/>
      <c r="O10" s="105"/>
      <c r="P10" s="104"/>
      <c r="AK10" s="133"/>
      <c r="AL10" s="133"/>
      <c r="AM10" s="133"/>
      <c r="AN10" s="133"/>
      <c r="AO10" s="133"/>
      <c r="AP10" s="133"/>
      <c r="AQ10" s="133"/>
      <c r="AR10" s="133"/>
      <c r="AS10" s="133"/>
      <c r="AT10" s="133"/>
      <c r="AU10" s="133"/>
      <c r="AV10" s="133"/>
      <c r="AW10" s="133"/>
      <c r="AX10" s="133"/>
      <c r="AY10" s="133"/>
      <c r="AZ10" s="133"/>
      <c r="BA10" s="133"/>
      <c r="BB10" s="133"/>
      <c r="BC10" s="133"/>
      <c r="BD10" s="133"/>
      <c r="BE10" s="133"/>
      <c r="BF10" s="133"/>
      <c r="BG10" s="133"/>
      <c r="BH10" s="133"/>
    </row>
    <row r="11" ht="15" customHeight="1" spans="1:60">
      <c r="A11" s="35"/>
      <c r="B11" s="42"/>
      <c r="C11" s="43"/>
      <c r="D11" s="43"/>
      <c r="E11" s="43"/>
      <c r="F11" s="43"/>
      <c r="G11" s="43"/>
      <c r="H11" s="43"/>
      <c r="I11" s="43"/>
      <c r="J11" s="43"/>
      <c r="K11" s="43"/>
      <c r="L11" s="43"/>
      <c r="M11" s="43"/>
      <c r="N11" s="43"/>
      <c r="O11" s="105"/>
      <c r="P11" s="104"/>
      <c r="AK11" s="133"/>
      <c r="AL11" s="133"/>
      <c r="AM11" s="133"/>
      <c r="AN11" s="133"/>
      <c r="AO11" s="133"/>
      <c r="AP11" s="133"/>
      <c r="AQ11" s="133"/>
      <c r="AR11" s="133"/>
      <c r="AS11" s="133"/>
      <c r="AT11" s="133"/>
      <c r="AU11" s="133"/>
      <c r="AV11" s="133"/>
      <c r="AW11" s="133"/>
      <c r="AX11" s="133"/>
      <c r="AY11" s="133"/>
      <c r="AZ11" s="133"/>
      <c r="BA11" s="133"/>
      <c r="BB11" s="133"/>
      <c r="BC11" s="133"/>
      <c r="BD11" s="133"/>
      <c r="BE11" s="133"/>
      <c r="BF11" s="133"/>
      <c r="BG11" s="133"/>
      <c r="BH11" s="133"/>
    </row>
    <row r="12" ht="15" customHeight="1" spans="1:60">
      <c r="A12" s="35"/>
      <c r="B12" s="42"/>
      <c r="C12" s="43"/>
      <c r="D12" s="43"/>
      <c r="E12" s="43"/>
      <c r="F12" s="43"/>
      <c r="G12" s="43"/>
      <c r="H12" s="43"/>
      <c r="I12" s="43"/>
      <c r="J12" s="43"/>
      <c r="K12" s="43"/>
      <c r="L12" s="43"/>
      <c r="M12" s="43"/>
      <c r="N12" s="43"/>
      <c r="O12" s="105"/>
      <c r="P12" s="104"/>
      <c r="AK12" s="133"/>
      <c r="AL12" s="133"/>
      <c r="AM12" s="133"/>
      <c r="AN12" s="133"/>
      <c r="AO12" s="133"/>
      <c r="AP12" s="133"/>
      <c r="AQ12" s="133"/>
      <c r="AR12" s="133"/>
      <c r="AS12" s="133"/>
      <c r="AT12" s="133"/>
      <c r="AU12" s="133"/>
      <c r="AV12" s="133"/>
      <c r="AW12" s="133"/>
      <c r="AX12" s="133"/>
      <c r="AY12" s="133"/>
      <c r="AZ12" s="133"/>
      <c r="BA12" s="133"/>
      <c r="BB12" s="133"/>
      <c r="BC12" s="133"/>
      <c r="BD12" s="133"/>
      <c r="BE12" s="133"/>
      <c r="BF12" s="133"/>
      <c r="BG12" s="133"/>
      <c r="BH12" s="133"/>
    </row>
    <row r="13" ht="15" customHeight="1" spans="1:60">
      <c r="A13" s="35"/>
      <c r="B13" s="42"/>
      <c r="C13" s="43"/>
      <c r="D13" s="43"/>
      <c r="E13" s="43"/>
      <c r="F13" s="43"/>
      <c r="G13" s="43"/>
      <c r="H13" s="43"/>
      <c r="I13" s="43"/>
      <c r="J13" s="43"/>
      <c r="K13" s="43"/>
      <c r="L13" s="43"/>
      <c r="M13" s="43"/>
      <c r="N13" s="43"/>
      <c r="O13" s="105"/>
      <c r="P13" s="104"/>
      <c r="AK13" s="133"/>
      <c r="AL13" s="133"/>
      <c r="AM13" s="133"/>
      <c r="AN13" s="133"/>
      <c r="AO13" s="133"/>
      <c r="AP13" s="133"/>
      <c r="AQ13" s="133"/>
      <c r="AR13" s="133"/>
      <c r="AS13" s="133"/>
      <c r="AT13" s="133"/>
      <c r="AU13" s="133"/>
      <c r="AV13" s="133"/>
      <c r="AW13" s="133"/>
      <c r="AX13" s="133"/>
      <c r="AY13" s="133"/>
      <c r="AZ13" s="133"/>
      <c r="BA13" s="133"/>
      <c r="BB13" s="133"/>
      <c r="BC13" s="133"/>
      <c r="BD13" s="133"/>
      <c r="BE13" s="133"/>
      <c r="BF13" s="133"/>
      <c r="BG13" s="133"/>
      <c r="BH13" s="133"/>
    </row>
    <row r="14" ht="28" customHeight="1" spans="1:60">
      <c r="A14" s="35"/>
      <c r="B14" s="42"/>
      <c r="C14" s="42"/>
      <c r="D14" s="44"/>
      <c r="E14" s="45" t="s">
        <v>8</v>
      </c>
      <c r="F14" s="45"/>
      <c r="G14" s="45"/>
      <c r="H14" s="46"/>
      <c r="I14" s="46"/>
      <c r="J14" s="46"/>
      <c r="K14" s="46"/>
      <c r="L14" s="42"/>
      <c r="M14" s="42"/>
      <c r="N14" s="42"/>
      <c r="O14" s="110"/>
      <c r="P14" s="104"/>
      <c r="AK14" s="133"/>
      <c r="AL14" s="133"/>
      <c r="AM14" s="133"/>
      <c r="AN14" s="133"/>
      <c r="AO14" s="133"/>
      <c r="AP14" s="133"/>
      <c r="AQ14" s="133"/>
      <c r="AR14" s="133"/>
      <c r="AS14" s="133"/>
      <c r="AT14" s="133"/>
      <c r="AU14" s="133"/>
      <c r="AV14" s="133"/>
      <c r="AW14" s="133"/>
      <c r="AX14" s="133"/>
      <c r="AY14" s="133"/>
      <c r="AZ14" s="133"/>
      <c r="BA14" s="133"/>
      <c r="BB14" s="133"/>
      <c r="BC14" s="133"/>
      <c r="BD14" s="133"/>
      <c r="BE14" s="133"/>
      <c r="BF14" s="133"/>
      <c r="BG14" s="133"/>
      <c r="BH14" s="133"/>
    </row>
    <row r="15" ht="28" customHeight="1" spans="1:60">
      <c r="A15" s="35"/>
      <c r="B15" s="42"/>
      <c r="C15" s="42"/>
      <c r="D15" s="38"/>
      <c r="E15" s="45" t="s">
        <v>9</v>
      </c>
      <c r="F15" s="45"/>
      <c r="G15" s="45"/>
      <c r="H15" s="46"/>
      <c r="I15" s="46"/>
      <c r="J15" s="46"/>
      <c r="K15" s="46"/>
      <c r="L15" s="42"/>
      <c r="M15" s="42"/>
      <c r="N15" s="42"/>
      <c r="O15" s="110"/>
      <c r="P15" s="104"/>
      <c r="AK15" s="133"/>
      <c r="AL15" s="133"/>
      <c r="AM15" s="133"/>
      <c r="AN15" s="133"/>
      <c r="AO15" s="133"/>
      <c r="AP15" s="133"/>
      <c r="AQ15" s="133"/>
      <c r="AR15" s="133"/>
      <c r="AS15" s="133"/>
      <c r="AT15" s="133"/>
      <c r="AU15" s="133"/>
      <c r="AV15" s="133"/>
      <c r="AW15" s="133"/>
      <c r="AX15" s="133"/>
      <c r="AY15" s="133"/>
      <c r="AZ15" s="133"/>
      <c r="BA15" s="133"/>
      <c r="BB15" s="133"/>
      <c r="BC15" s="133"/>
      <c r="BD15" s="133"/>
      <c r="BE15" s="133"/>
      <c r="BF15" s="133"/>
      <c r="BG15" s="133"/>
      <c r="BH15" s="133"/>
    </row>
    <row r="16" ht="28" customHeight="1" spans="1:60">
      <c r="A16" s="35"/>
      <c r="B16" s="42"/>
      <c r="C16" s="42"/>
      <c r="D16" s="47"/>
      <c r="E16" s="48" t="s">
        <v>10</v>
      </c>
      <c r="F16" s="48"/>
      <c r="G16" s="48"/>
      <c r="H16" s="46"/>
      <c r="I16" s="46"/>
      <c r="J16" s="46"/>
      <c r="K16" s="46"/>
      <c r="L16" s="42"/>
      <c r="M16" s="42"/>
      <c r="N16" s="42"/>
      <c r="O16" s="110"/>
      <c r="P16" s="104"/>
      <c r="AK16" s="133"/>
      <c r="AL16" s="133"/>
      <c r="AM16" s="133"/>
      <c r="AN16" s="133"/>
      <c r="AO16" s="133"/>
      <c r="AP16" s="133"/>
      <c r="AQ16" s="133"/>
      <c r="AR16" s="133"/>
      <c r="AS16" s="133"/>
      <c r="AT16" s="133"/>
      <c r="AU16" s="133"/>
      <c r="AV16" s="133"/>
      <c r="AW16" s="133"/>
      <c r="AX16" s="133"/>
      <c r="AY16" s="133"/>
      <c r="AZ16" s="133"/>
      <c r="BA16" s="133"/>
      <c r="BB16" s="133"/>
      <c r="BC16" s="133"/>
      <c r="BD16" s="133"/>
      <c r="BE16" s="133"/>
      <c r="BF16" s="133"/>
      <c r="BG16" s="133"/>
      <c r="BH16" s="133"/>
    </row>
    <row r="17" ht="28" customHeight="1" spans="1:60">
      <c r="A17" s="35"/>
      <c r="B17" s="42"/>
      <c r="C17" s="42"/>
      <c r="D17" s="47"/>
      <c r="E17" s="48" t="s">
        <v>11</v>
      </c>
      <c r="F17" s="48"/>
      <c r="G17" s="48"/>
      <c r="H17" s="49" t="s">
        <v>12</v>
      </c>
      <c r="I17" s="49"/>
      <c r="J17" s="49"/>
      <c r="K17" s="49"/>
      <c r="L17" s="42"/>
      <c r="M17" s="42"/>
      <c r="N17" s="42"/>
      <c r="O17" s="110"/>
      <c r="P17" s="104"/>
      <c r="AK17" s="133"/>
      <c r="AL17" s="133"/>
      <c r="AM17" s="133"/>
      <c r="AN17" s="133"/>
      <c r="AO17" s="133"/>
      <c r="AP17" s="133"/>
      <c r="AQ17" s="133"/>
      <c r="AR17" s="133"/>
      <c r="AS17" s="133"/>
      <c r="AT17" s="133"/>
      <c r="AU17" s="133"/>
      <c r="AV17" s="133"/>
      <c r="AW17" s="133"/>
      <c r="AX17" s="133"/>
      <c r="AY17" s="133"/>
      <c r="AZ17" s="133"/>
      <c r="BA17" s="133"/>
      <c r="BB17" s="133"/>
      <c r="BC17" s="133"/>
      <c r="BD17" s="133"/>
      <c r="BE17" s="133"/>
      <c r="BF17" s="133"/>
      <c r="BG17" s="133"/>
      <c r="BH17" s="133"/>
    </row>
    <row r="18" ht="28" customHeight="1" spans="1:60">
      <c r="A18" s="35"/>
      <c r="B18" s="42"/>
      <c r="C18" s="42"/>
      <c r="D18" s="47"/>
      <c r="E18" s="48" t="s">
        <v>13</v>
      </c>
      <c r="F18" s="48"/>
      <c r="G18" s="48"/>
      <c r="H18" s="49" t="s">
        <v>14</v>
      </c>
      <c r="I18" s="49"/>
      <c r="J18" s="49"/>
      <c r="K18" s="49"/>
      <c r="L18" s="42"/>
      <c r="M18" s="42"/>
      <c r="N18" s="42"/>
      <c r="O18" s="110"/>
      <c r="P18" s="104"/>
      <c r="AK18" s="133"/>
      <c r="AL18" s="133"/>
      <c r="AM18" s="133"/>
      <c r="AN18" s="133"/>
      <c r="AO18" s="133"/>
      <c r="AP18" s="133"/>
      <c r="AQ18" s="133"/>
      <c r="AR18" s="133"/>
      <c r="AS18" s="133"/>
      <c r="AT18" s="133"/>
      <c r="AU18" s="133"/>
      <c r="AV18" s="133"/>
      <c r="AW18" s="133"/>
      <c r="AX18" s="133"/>
      <c r="AY18" s="133"/>
      <c r="AZ18" s="133"/>
      <c r="BA18" s="133"/>
      <c r="BB18" s="133"/>
      <c r="BC18" s="133"/>
      <c r="BD18" s="133"/>
      <c r="BE18" s="133"/>
      <c r="BF18" s="133"/>
      <c r="BG18" s="133"/>
      <c r="BH18" s="133"/>
    </row>
    <row r="19" ht="28" customHeight="1" spans="1:60">
      <c r="A19" s="35"/>
      <c r="B19" s="42"/>
      <c r="C19" s="42"/>
      <c r="D19" s="44"/>
      <c r="E19" s="45" t="s">
        <v>15</v>
      </c>
      <c r="F19" s="45"/>
      <c r="G19" s="45"/>
      <c r="H19" s="49" t="s">
        <v>16</v>
      </c>
      <c r="I19" s="49"/>
      <c r="J19" s="49"/>
      <c r="K19" s="49"/>
      <c r="L19" s="42"/>
      <c r="M19" s="42"/>
      <c r="N19" s="42"/>
      <c r="O19" s="110"/>
      <c r="P19" s="104"/>
      <c r="AK19" s="133"/>
      <c r="AL19" s="133"/>
      <c r="AM19" s="133"/>
      <c r="AN19" s="133"/>
      <c r="AO19" s="133"/>
      <c r="AP19" s="133"/>
      <c r="AQ19" s="133"/>
      <c r="AR19" s="133"/>
      <c r="AS19" s="133"/>
      <c r="AT19" s="133"/>
      <c r="AU19" s="133"/>
      <c r="AV19" s="133"/>
      <c r="AW19" s="133"/>
      <c r="AX19" s="133"/>
      <c r="AY19" s="133"/>
      <c r="AZ19" s="133"/>
      <c r="BA19" s="133"/>
      <c r="BB19" s="133"/>
      <c r="BC19" s="133"/>
      <c r="BD19" s="133"/>
      <c r="BE19" s="133"/>
      <c r="BF19" s="133"/>
      <c r="BG19" s="133"/>
      <c r="BH19" s="133"/>
    </row>
    <row r="20" ht="28" customHeight="1" spans="1:60">
      <c r="A20" s="35"/>
      <c r="B20" s="42"/>
      <c r="C20" s="42"/>
      <c r="D20" s="44"/>
      <c r="E20" s="45" t="s">
        <v>17</v>
      </c>
      <c r="F20" s="45"/>
      <c r="G20" s="45"/>
      <c r="H20" s="50"/>
      <c r="I20" s="50"/>
      <c r="J20" s="50"/>
      <c r="K20" s="50"/>
      <c r="L20" s="42"/>
      <c r="M20" s="42"/>
      <c r="N20" s="42"/>
      <c r="O20" s="110"/>
      <c r="P20" s="104"/>
      <c r="AK20" s="133"/>
      <c r="AL20" s="133"/>
      <c r="AM20" s="133"/>
      <c r="AN20" s="133"/>
      <c r="AO20" s="133"/>
      <c r="AP20" s="133"/>
      <c r="AQ20" s="133"/>
      <c r="AR20" s="133"/>
      <c r="AS20" s="133"/>
      <c r="AT20" s="133"/>
      <c r="AU20" s="133"/>
      <c r="AV20" s="133"/>
      <c r="AW20" s="133"/>
      <c r="AX20" s="133"/>
      <c r="AY20" s="133"/>
      <c r="AZ20" s="133"/>
      <c r="BA20" s="133"/>
      <c r="BB20" s="133"/>
      <c r="BC20" s="133"/>
      <c r="BD20" s="133"/>
      <c r="BE20" s="133"/>
      <c r="BF20" s="133"/>
      <c r="BG20" s="133"/>
      <c r="BH20" s="133"/>
    </row>
    <row r="21" ht="30" customHeight="1" spans="1:60">
      <c r="A21" s="35"/>
      <c r="B21" s="42"/>
      <c r="C21" s="42"/>
      <c r="D21" s="44"/>
      <c r="E21" s="44"/>
      <c r="F21" s="44"/>
      <c r="G21" s="51"/>
      <c r="H21" s="51"/>
      <c r="I21" s="51"/>
      <c r="J21" s="111"/>
      <c r="K21" s="112"/>
      <c r="L21" s="112"/>
      <c r="M21" s="42"/>
      <c r="N21" s="42"/>
      <c r="O21" s="110"/>
      <c r="P21" s="104"/>
      <c r="AK21" s="133"/>
      <c r="AL21" s="133"/>
      <c r="AM21" s="133"/>
      <c r="AN21" s="133"/>
      <c r="AO21" s="133"/>
      <c r="AP21" s="133"/>
      <c r="AQ21" s="133"/>
      <c r="AR21" s="133"/>
      <c r="AS21" s="133"/>
      <c r="AT21" s="133"/>
      <c r="AU21" s="133"/>
      <c r="AV21" s="133"/>
      <c r="AW21" s="133"/>
      <c r="AX21" s="133"/>
      <c r="AY21" s="133"/>
      <c r="AZ21" s="133"/>
      <c r="BA21" s="133"/>
      <c r="BB21" s="133"/>
      <c r="BC21" s="133"/>
      <c r="BD21" s="133"/>
      <c r="BE21" s="133"/>
      <c r="BF21" s="133"/>
      <c r="BG21" s="133"/>
      <c r="BH21" s="133"/>
    </row>
    <row r="22" ht="19.5" customHeight="1" spans="1:60">
      <c r="A22" s="35"/>
      <c r="B22" s="52"/>
      <c r="C22" s="52"/>
      <c r="D22" s="53"/>
      <c r="E22" s="53"/>
      <c r="F22" s="53"/>
      <c r="G22" s="54"/>
      <c r="H22" s="54"/>
      <c r="I22" s="54"/>
      <c r="J22" s="111"/>
      <c r="K22" s="113"/>
      <c r="L22" s="113"/>
      <c r="M22" s="42"/>
      <c r="N22" s="42"/>
      <c r="O22" s="105"/>
      <c r="P22" s="104"/>
      <c r="AK22" s="133"/>
      <c r="AL22" s="133"/>
      <c r="AM22" s="133"/>
      <c r="AN22" s="133"/>
      <c r="AO22" s="133"/>
      <c r="AP22" s="133"/>
      <c r="AQ22" s="133"/>
      <c r="AR22" s="133"/>
      <c r="AS22" s="133"/>
      <c r="AT22" s="133"/>
      <c r="AU22" s="133"/>
      <c r="AV22" s="133"/>
      <c r="AW22" s="133"/>
      <c r="AX22" s="133"/>
      <c r="AY22" s="133"/>
      <c r="AZ22" s="133"/>
      <c r="BA22" s="133"/>
      <c r="BB22" s="133"/>
      <c r="BC22" s="133"/>
      <c r="BD22" s="133"/>
      <c r="BE22" s="133"/>
      <c r="BF22" s="133"/>
      <c r="BG22" s="133"/>
      <c r="BH22" s="133"/>
    </row>
    <row r="23" ht="21" customHeight="1" spans="1:60">
      <c r="A23" s="35"/>
      <c r="B23" s="55" t="s">
        <v>18</v>
      </c>
      <c r="C23" s="55"/>
      <c r="D23" s="55"/>
      <c r="E23" s="55"/>
      <c r="F23" s="55"/>
      <c r="G23" s="55"/>
      <c r="H23" s="55"/>
      <c r="I23" s="55"/>
      <c r="J23" s="55"/>
      <c r="K23" s="55"/>
      <c r="L23" s="55"/>
      <c r="M23" s="55"/>
      <c r="N23" s="55"/>
      <c r="O23" s="55"/>
      <c r="P23" s="104"/>
      <c r="AK23" s="133"/>
      <c r="AL23" s="133"/>
      <c r="AM23" s="133"/>
      <c r="AN23" s="133"/>
      <c r="AO23" s="133"/>
      <c r="AP23" s="133"/>
      <c r="AQ23" s="133"/>
      <c r="AR23" s="133"/>
      <c r="AS23" s="133"/>
      <c r="AT23" s="133"/>
      <c r="AU23" s="133"/>
      <c r="AV23" s="133"/>
      <c r="AW23" s="133"/>
      <c r="AX23" s="133"/>
      <c r="AY23" s="133"/>
      <c r="AZ23" s="133"/>
      <c r="BA23" s="133"/>
      <c r="BB23" s="133"/>
      <c r="BC23" s="133"/>
      <c r="BD23" s="133"/>
      <c r="BE23" s="133"/>
      <c r="BF23" s="133"/>
      <c r="BG23" s="133"/>
      <c r="BH23" s="133"/>
    </row>
    <row r="24" ht="15" customHeight="1" spans="1:60">
      <c r="A24" s="35"/>
      <c r="B24" s="56"/>
      <c r="C24" s="57"/>
      <c r="D24" s="57"/>
      <c r="E24" s="56"/>
      <c r="F24" s="58"/>
      <c r="G24" s="56"/>
      <c r="H24" s="59"/>
      <c r="I24" s="59"/>
      <c r="J24" s="114"/>
      <c r="K24" s="115"/>
      <c r="L24" s="115"/>
      <c r="M24" s="116"/>
      <c r="N24" s="116"/>
      <c r="O24" s="107"/>
      <c r="P24" s="104"/>
      <c r="AK24" s="133"/>
      <c r="AL24" s="133"/>
      <c r="AM24" s="133"/>
      <c r="AN24" s="133"/>
      <c r="AO24" s="133"/>
      <c r="AP24" s="133"/>
      <c r="AQ24" s="133"/>
      <c r="AR24" s="133"/>
      <c r="AS24" s="133"/>
      <c r="AT24" s="133"/>
      <c r="AU24" s="133"/>
      <c r="AV24" s="133"/>
      <c r="AW24" s="133"/>
      <c r="AX24" s="133"/>
      <c r="AY24" s="133"/>
      <c r="AZ24" s="133"/>
      <c r="BA24" s="133"/>
      <c r="BB24" s="133"/>
      <c r="BC24" s="133"/>
      <c r="BD24" s="133"/>
      <c r="BE24" s="133"/>
      <c r="BF24" s="133"/>
      <c r="BG24" s="133"/>
      <c r="BH24" s="133"/>
    </row>
    <row r="25" ht="29.3" customHeight="1" spans="1:60">
      <c r="A25" s="35"/>
      <c r="B25" s="60" t="s">
        <v>19</v>
      </c>
      <c r="C25" s="61">
        <f>H15</f>
        <v>0</v>
      </c>
      <c r="D25" s="62"/>
      <c r="E25" s="60" t="s">
        <v>20</v>
      </c>
      <c r="F25" s="63"/>
      <c r="G25" s="64"/>
      <c r="H25" s="65" t="s">
        <v>21</v>
      </c>
      <c r="I25" s="79"/>
      <c r="J25" s="117"/>
      <c r="K25" s="117"/>
      <c r="L25" s="60" t="s">
        <v>22</v>
      </c>
      <c r="M25" s="60"/>
      <c r="N25" s="77" t="str">
        <f ca="1">IF(J25&lt;&gt;"",DATEDIF(J25,TODAY(),"y"),"")</f>
        <v/>
      </c>
      <c r="O25" s="79"/>
      <c r="AK25" s="133"/>
      <c r="AL25" s="133"/>
      <c r="AM25" s="133"/>
      <c r="AN25" s="133"/>
      <c r="AO25" s="133"/>
      <c r="AP25" s="133"/>
      <c r="AQ25" s="133"/>
      <c r="AR25" s="133"/>
      <c r="AS25" s="133"/>
      <c r="AT25" s="133"/>
      <c r="AU25" s="133"/>
      <c r="AV25" s="133"/>
      <c r="AW25" s="133"/>
      <c r="AX25" s="133"/>
      <c r="AY25" s="133"/>
      <c r="AZ25" s="133"/>
      <c r="BA25" s="133"/>
      <c r="BB25" s="133"/>
      <c r="BC25" s="133"/>
      <c r="BD25" s="133"/>
      <c r="BE25" s="133"/>
      <c r="BF25" s="133"/>
      <c r="BG25" s="133"/>
      <c r="BH25" s="133"/>
    </row>
    <row r="26" ht="29.3" customHeight="1" spans="1:60">
      <c r="A26" s="35"/>
      <c r="B26" s="66" t="s">
        <v>23</v>
      </c>
      <c r="C26" s="66"/>
      <c r="D26" s="63"/>
      <c r="E26" s="67"/>
      <c r="F26" s="66" t="s">
        <v>24</v>
      </c>
      <c r="G26" s="66"/>
      <c r="H26" s="68"/>
      <c r="I26" s="118"/>
      <c r="J26" s="78" t="s">
        <v>25</v>
      </c>
      <c r="K26" s="79"/>
      <c r="L26" s="119"/>
      <c r="M26" s="119"/>
      <c r="N26" s="119"/>
      <c r="O26" s="119"/>
      <c r="P26" s="120" t="s">
        <v>26</v>
      </c>
      <c r="Q26" s="120" t="s">
        <v>27</v>
      </c>
      <c r="R26" s="130"/>
      <c r="S26" s="120"/>
      <c r="AK26" s="133"/>
      <c r="AL26" s="133"/>
      <c r="AM26" s="133"/>
      <c r="AN26" s="133"/>
      <c r="AO26" s="133"/>
      <c r="AP26" s="133"/>
      <c r="AQ26" s="133"/>
      <c r="AR26" s="133"/>
      <c r="AS26" s="133"/>
      <c r="AT26" s="133"/>
      <c r="AU26" s="133"/>
      <c r="AV26" s="133"/>
      <c r="AW26" s="133"/>
      <c r="AX26" s="133"/>
      <c r="AY26" s="133"/>
      <c r="AZ26" s="133"/>
      <c r="BA26" s="133"/>
      <c r="BB26" s="133"/>
      <c r="BC26" s="133"/>
      <c r="BD26" s="133"/>
      <c r="BE26" s="133"/>
      <c r="BF26" s="133"/>
      <c r="BG26" s="133"/>
      <c r="BH26" s="133"/>
    </row>
    <row r="27" ht="29.3" customHeight="1" spans="1:60">
      <c r="A27" s="35"/>
      <c r="B27" s="65" t="s">
        <v>28</v>
      </c>
      <c r="C27" s="69"/>
      <c r="D27" s="70"/>
      <c r="E27" s="71"/>
      <c r="F27" s="66" t="s">
        <v>29</v>
      </c>
      <c r="G27" s="66"/>
      <c r="H27" s="72" t="str">
        <f ca="1">IF(D27&lt;&gt;"",IF(MONTH(D27)&gt;MONTH(TODAY()),YEAR(TODAY())-YEAR(D27),YEAR(TODAY())+1-YEAR(D27)),"")</f>
        <v/>
      </c>
      <c r="I27" s="121" t="str">
        <f>IF(D27&lt;&gt;"","年","")</f>
        <v/>
      </c>
      <c r="J27" s="77" t="s">
        <v>30</v>
      </c>
      <c r="K27" s="79"/>
      <c r="L27" s="77" t="str">
        <f>IF(H14&lt;&gt;"",H14,"")</f>
        <v/>
      </c>
      <c r="M27" s="78"/>
      <c r="N27" s="78"/>
      <c r="O27" s="79"/>
      <c r="P27" s="31" t="str">
        <f ca="1">IF(OR(D26="博士",AND(D26="硕士",AND(H27&lt;&gt;"",H27&gt;=5)),AND(OR(D26="学士",D26="无学位（本科毕业）"),AND(H27&lt;&gt;"",H27&gt;=6))),"满足","不满足")</f>
        <v>不满足</v>
      </c>
      <c r="Q27" s="31" t="str">
        <f ca="1">IF(OR(AND(D26="博士",AND(N28&lt;&gt;"",N28&gt;=2)),AND(D26="硕士",AND(N28&lt;&gt;"",N28&gt;=5)),AND(N28&lt;&gt;"",N28&gt;=6)),"满足","不满足")</f>
        <v>不满足</v>
      </c>
      <c r="AK27" s="133"/>
      <c r="AL27" s="133"/>
      <c r="AM27" s="133"/>
      <c r="AN27" s="133"/>
      <c r="AO27" s="133"/>
      <c r="AP27" s="133"/>
      <c r="AQ27" s="133"/>
      <c r="AR27" s="133"/>
      <c r="AS27" s="133"/>
      <c r="AT27" s="133"/>
      <c r="AU27" s="133"/>
      <c r="AV27" s="133"/>
      <c r="AW27" s="133"/>
      <c r="AX27" s="133"/>
      <c r="AY27" s="133"/>
      <c r="AZ27" s="133"/>
      <c r="BA27" s="133"/>
      <c r="BB27" s="133"/>
      <c r="BC27" s="133"/>
      <c r="BD27" s="133"/>
      <c r="BE27" s="133"/>
      <c r="BF27" s="133"/>
      <c r="BG27" s="133"/>
      <c r="BH27" s="133"/>
    </row>
    <row r="28" ht="29.3" customHeight="1" spans="1:60">
      <c r="A28" s="35"/>
      <c r="B28" s="60" t="s">
        <v>31</v>
      </c>
      <c r="C28" s="60"/>
      <c r="D28" s="60">
        <f>H16</f>
        <v>0</v>
      </c>
      <c r="E28" s="60"/>
      <c r="F28" s="60"/>
      <c r="G28" s="60" t="s">
        <v>32</v>
      </c>
      <c r="H28" s="60"/>
      <c r="I28" s="122"/>
      <c r="J28" s="122"/>
      <c r="K28" s="60" t="s">
        <v>27</v>
      </c>
      <c r="L28" s="60"/>
      <c r="M28" s="60"/>
      <c r="N28" s="123" t="str">
        <f ca="1">IF(I28&lt;&gt;"",IF(MONTH(I28)&gt;MONTH(TODAY()),YEAR(TODAY())-YEAR(I28),YEAR(TODAY())+1-YEAR(I28)),"")</f>
        <v/>
      </c>
      <c r="O28" s="121" t="str">
        <f ca="1">IF(N28&lt;&gt;"","年","")</f>
        <v/>
      </c>
      <c r="AK28" s="133"/>
      <c r="AL28" s="133"/>
      <c r="AM28" s="133"/>
      <c r="AN28" s="133"/>
      <c r="AO28" s="133"/>
      <c r="AP28" s="133"/>
      <c r="AQ28" s="133"/>
      <c r="AR28" s="133"/>
      <c r="AS28" s="133"/>
      <c r="AT28" s="133"/>
      <c r="AU28" s="133"/>
      <c r="AV28" s="133"/>
      <c r="AW28" s="133"/>
      <c r="AX28" s="133"/>
      <c r="AY28" s="133"/>
      <c r="AZ28" s="133"/>
      <c r="BA28" s="133"/>
      <c r="BB28" s="133"/>
      <c r="BC28" s="133"/>
      <c r="BD28" s="133"/>
      <c r="BE28" s="133"/>
      <c r="BF28" s="133"/>
      <c r="BG28" s="133"/>
      <c r="BH28" s="133"/>
    </row>
    <row r="29" ht="29.3" customHeight="1" spans="1:60">
      <c r="A29" s="35"/>
      <c r="B29" s="60" t="s">
        <v>33</v>
      </c>
      <c r="C29" s="60"/>
      <c r="D29" s="73"/>
      <c r="E29" s="74"/>
      <c r="F29" s="74"/>
      <c r="G29" s="74"/>
      <c r="H29" s="75"/>
      <c r="I29" s="60" t="s">
        <v>34</v>
      </c>
      <c r="J29" s="60"/>
      <c r="K29" s="73"/>
      <c r="L29" s="74"/>
      <c r="M29" s="74"/>
      <c r="N29" s="74"/>
      <c r="O29" s="75"/>
      <c r="AK29" s="133"/>
      <c r="AL29" s="133"/>
      <c r="AM29" s="133"/>
      <c r="AN29" s="133"/>
      <c r="AO29" s="133"/>
      <c r="AP29" s="133"/>
      <c r="AQ29" s="133"/>
      <c r="AR29" s="133"/>
      <c r="AS29" s="133"/>
      <c r="AT29" s="133"/>
      <c r="AU29" s="133"/>
      <c r="AV29" s="133"/>
      <c r="AW29" s="133"/>
      <c r="AX29" s="133"/>
      <c r="AY29" s="133"/>
      <c r="AZ29" s="133"/>
      <c r="BA29" s="133"/>
      <c r="BB29" s="133"/>
      <c r="BC29" s="133"/>
      <c r="BD29" s="133"/>
      <c r="BE29" s="133"/>
      <c r="BF29" s="133"/>
      <c r="BG29" s="133"/>
      <c r="BH29" s="133"/>
    </row>
    <row r="30" ht="29.3" customHeight="1" spans="1:60">
      <c r="A30" s="35"/>
      <c r="B30" s="76" t="s">
        <v>35</v>
      </c>
      <c r="C30" s="76"/>
      <c r="D30" s="76"/>
      <c r="E30" s="76"/>
      <c r="F30" s="76"/>
      <c r="G30" s="76"/>
      <c r="H30" s="76"/>
      <c r="I30" s="76"/>
      <c r="J30" s="76"/>
      <c r="K30" s="76"/>
      <c r="L30" s="76"/>
      <c r="M30" s="76"/>
      <c r="N30" s="76"/>
      <c r="O30" s="76"/>
      <c r="AK30" s="133"/>
      <c r="AL30" s="133"/>
      <c r="AM30" s="133"/>
      <c r="AN30" s="133"/>
      <c r="AO30" s="133"/>
      <c r="AP30" s="133"/>
      <c r="AQ30" s="133"/>
      <c r="AR30" s="133"/>
      <c r="AS30" s="133"/>
      <c r="AT30" s="133"/>
      <c r="AU30" s="133"/>
      <c r="AV30" s="133"/>
      <c r="AW30" s="133"/>
      <c r="AX30" s="133"/>
      <c r="AY30" s="133"/>
      <c r="AZ30" s="133"/>
      <c r="BA30" s="133"/>
      <c r="BB30" s="133"/>
      <c r="BC30" s="133"/>
      <c r="BD30" s="133"/>
      <c r="BE30" s="133"/>
      <c r="BF30" s="133"/>
      <c r="BG30" s="133"/>
      <c r="BH30" s="133"/>
    </row>
    <row r="31" ht="29.3" customHeight="1" spans="1:60">
      <c r="A31" s="35"/>
      <c r="B31" s="60" t="s">
        <v>36</v>
      </c>
      <c r="C31" s="77" t="s">
        <v>37</v>
      </c>
      <c r="D31" s="78"/>
      <c r="E31" s="78"/>
      <c r="F31" s="78"/>
      <c r="G31" s="79"/>
      <c r="H31" s="77" t="s">
        <v>38</v>
      </c>
      <c r="I31" s="78"/>
      <c r="J31" s="78"/>
      <c r="K31" s="78"/>
      <c r="L31" s="78"/>
      <c r="M31" s="79"/>
      <c r="N31" s="60" t="s">
        <v>39</v>
      </c>
      <c r="O31" s="60" t="s">
        <v>40</v>
      </c>
      <c r="AK31" s="133"/>
      <c r="AL31" s="133"/>
      <c r="AM31" s="133"/>
      <c r="AN31" s="133"/>
      <c r="AO31" s="133"/>
      <c r="AP31" s="133"/>
      <c r="AQ31" s="133"/>
      <c r="AR31" s="133"/>
      <c r="AS31" s="133"/>
      <c r="AT31" s="133"/>
      <c r="AU31" s="133"/>
      <c r="AV31" s="133"/>
      <c r="AW31" s="133"/>
      <c r="AX31" s="133"/>
      <c r="AY31" s="133"/>
      <c r="AZ31" s="133"/>
      <c r="BA31" s="133"/>
      <c r="BB31" s="133"/>
      <c r="BC31" s="133"/>
      <c r="BD31" s="133"/>
      <c r="BE31" s="133"/>
      <c r="BF31" s="133"/>
      <c r="BG31" s="133"/>
      <c r="BH31" s="133"/>
    </row>
    <row r="32" ht="29.3" customHeight="1" spans="1:60">
      <c r="A32" s="35"/>
      <c r="B32" s="60"/>
      <c r="C32" s="80"/>
      <c r="D32" s="81"/>
      <c r="E32" s="81"/>
      <c r="F32" s="81"/>
      <c r="G32" s="82"/>
      <c r="H32" s="80"/>
      <c r="I32" s="81"/>
      <c r="J32" s="81"/>
      <c r="K32" s="81"/>
      <c r="L32" s="81"/>
      <c r="M32" s="82"/>
      <c r="N32" s="124"/>
      <c r="O32" s="124"/>
      <c r="AK32" s="133"/>
      <c r="AL32" s="133"/>
      <c r="AM32" s="133"/>
      <c r="AN32" s="133"/>
      <c r="AO32" s="133"/>
      <c r="AP32" s="133"/>
      <c r="AQ32" s="133"/>
      <c r="AR32" s="133"/>
      <c r="AS32" s="133"/>
      <c r="AT32" s="133"/>
      <c r="AU32" s="133"/>
      <c r="AV32" s="133"/>
      <c r="AW32" s="133"/>
      <c r="AX32" s="133"/>
      <c r="AY32" s="133"/>
      <c r="AZ32" s="133"/>
      <c r="BA32" s="133"/>
      <c r="BB32" s="133"/>
      <c r="BC32" s="133"/>
      <c r="BD32" s="133"/>
      <c r="BE32" s="133"/>
      <c r="BF32" s="133"/>
      <c r="BG32" s="133"/>
      <c r="BH32" s="133"/>
    </row>
    <row r="33" ht="29.3" customHeight="1" spans="1:60">
      <c r="A33" s="35"/>
      <c r="B33" s="60"/>
      <c r="C33" s="80"/>
      <c r="D33" s="81"/>
      <c r="E33" s="81"/>
      <c r="F33" s="81"/>
      <c r="G33" s="82"/>
      <c r="H33" s="80"/>
      <c r="I33" s="81"/>
      <c r="J33" s="81"/>
      <c r="K33" s="81"/>
      <c r="L33" s="81"/>
      <c r="M33" s="82"/>
      <c r="N33" s="124"/>
      <c r="O33" s="31"/>
      <c r="AK33" s="133"/>
      <c r="AL33" s="133"/>
      <c r="AM33" s="133"/>
      <c r="AN33" s="133"/>
      <c r="AO33" s="133"/>
      <c r="AP33" s="133"/>
      <c r="AQ33" s="133"/>
      <c r="AR33" s="133"/>
      <c r="AS33" s="133"/>
      <c r="AT33" s="133"/>
      <c r="AU33" s="133"/>
      <c r="AV33" s="133"/>
      <c r="AW33" s="133"/>
      <c r="AX33" s="133"/>
      <c r="AY33" s="133"/>
      <c r="AZ33" s="133"/>
      <c r="BA33" s="133"/>
      <c r="BB33" s="133"/>
      <c r="BC33" s="133"/>
      <c r="BD33" s="133"/>
      <c r="BE33" s="133"/>
      <c r="BF33" s="133"/>
      <c r="BG33" s="133"/>
      <c r="BH33" s="133"/>
    </row>
    <row r="34" ht="29.3" customHeight="1" spans="1:60">
      <c r="A34" s="35"/>
      <c r="B34" s="66" t="s">
        <v>41</v>
      </c>
      <c r="C34" s="83" t="str">
        <f ca="1">CONCATENATE(YEAR(TODAY())-3,"年度下半年")</f>
        <v>2020年度下半年</v>
      </c>
      <c r="D34" s="84"/>
      <c r="E34" s="85" t="str">
        <f ca="1">CONCATENATE(YEAR(TODAY())-2,"年度上半年")</f>
        <v>2021年度上半年</v>
      </c>
      <c r="F34" s="83" t="str">
        <f ca="1">CONCATENATE(YEAR(TODAY())-2,"年度下半年")</f>
        <v>2021年度下半年</v>
      </c>
      <c r="G34" s="86"/>
      <c r="H34" s="83" t="str">
        <f ca="1">CONCATENATE(YEAR(TODAY())-1,"年度上半年")</f>
        <v>2022年度上半年</v>
      </c>
      <c r="I34" s="86"/>
      <c r="J34" s="60" t="str">
        <f ca="1">CONCATENATE(YEAR(TODAY())-1,"年度下半年")</f>
        <v>2022年度下半年</v>
      </c>
      <c r="K34" s="60"/>
      <c r="L34" s="78" t="str">
        <f ca="1">CONCATENATE(YEAR(TODAY()),"年度上半年")</f>
        <v>2023年度上半年</v>
      </c>
      <c r="M34" s="79"/>
      <c r="N34" s="60" t="s">
        <v>39</v>
      </c>
      <c r="O34" s="60" t="s">
        <v>40</v>
      </c>
      <c r="P34" s="31" t="s">
        <v>42</v>
      </c>
      <c r="Q34" s="31" t="s">
        <v>43</v>
      </c>
      <c r="R34" s="31" t="s">
        <v>44</v>
      </c>
      <c r="S34" s="31" t="s">
        <v>45</v>
      </c>
      <c r="AK34" s="133"/>
      <c r="AL34" s="133"/>
      <c r="AM34" s="133"/>
      <c r="AN34" s="133"/>
      <c r="AO34" s="133"/>
      <c r="AP34" s="133"/>
      <c r="AQ34" s="133"/>
      <c r="AR34" s="133"/>
      <c r="AS34" s="133"/>
      <c r="AT34" s="133"/>
      <c r="AU34" s="133"/>
      <c r="AV34" s="133"/>
      <c r="AW34" s="133"/>
      <c r="AX34" s="133"/>
      <c r="AY34" s="133"/>
      <c r="AZ34" s="133"/>
      <c r="BA34" s="133"/>
      <c r="BB34" s="133"/>
      <c r="BC34" s="133"/>
      <c r="BD34" s="133"/>
      <c r="BE34" s="133"/>
      <c r="BF34" s="133"/>
      <c r="BG34" s="133"/>
      <c r="BH34" s="133"/>
    </row>
    <row r="35" ht="29.3" customHeight="1" spans="1:60">
      <c r="A35" s="35"/>
      <c r="B35" s="60"/>
      <c r="C35" s="87"/>
      <c r="D35" s="88"/>
      <c r="E35" s="89"/>
      <c r="F35" s="87"/>
      <c r="G35" s="88"/>
      <c r="H35" s="87"/>
      <c r="I35" s="88"/>
      <c r="J35" s="87"/>
      <c r="K35" s="88"/>
      <c r="L35" s="87"/>
      <c r="M35" s="88"/>
      <c r="N35" s="125"/>
      <c r="O35" s="125"/>
      <c r="P35" s="31">
        <f>COUNTIF(C35:M35,"A档")</f>
        <v>0</v>
      </c>
      <c r="Q35" s="31">
        <f>COUNTIF(C35:M35,"B档")</f>
        <v>0</v>
      </c>
      <c r="R35" s="31">
        <f>COUNTIF(C35:M35,"C档")</f>
        <v>0</v>
      </c>
      <c r="S35" s="31">
        <f>COUNTIF(C35:M35,"D档")</f>
        <v>0</v>
      </c>
      <c r="AK35" s="133"/>
      <c r="AL35" s="133"/>
      <c r="AM35" s="133"/>
      <c r="AN35" s="133"/>
      <c r="AO35" s="133"/>
      <c r="AP35" s="133"/>
      <c r="AQ35" s="133"/>
      <c r="AR35" s="133"/>
      <c r="AS35" s="133"/>
      <c r="AT35" s="133"/>
      <c r="AU35" s="133"/>
      <c r="AV35" s="133"/>
      <c r="AW35" s="133"/>
      <c r="AX35" s="133"/>
      <c r="AY35" s="133"/>
      <c r="AZ35" s="133"/>
      <c r="BA35" s="133"/>
      <c r="BB35" s="133"/>
      <c r="BC35" s="133"/>
      <c r="BD35" s="133"/>
      <c r="BE35" s="133"/>
      <c r="BF35" s="133"/>
      <c r="BG35" s="133"/>
      <c r="BH35" s="133"/>
    </row>
    <row r="36" ht="29.3" customHeight="1" spans="1:60">
      <c r="A36" s="35"/>
      <c r="B36" s="66" t="s">
        <v>46</v>
      </c>
      <c r="C36" s="83" t="s">
        <v>47</v>
      </c>
      <c r="D36" s="84"/>
      <c r="E36" s="84"/>
      <c r="F36" s="90"/>
      <c r="G36" s="83" t="s">
        <v>48</v>
      </c>
      <c r="H36" s="84"/>
      <c r="I36" s="90"/>
      <c r="J36" s="83" t="s">
        <v>49</v>
      </c>
      <c r="K36" s="84"/>
      <c r="L36" s="84"/>
      <c r="M36" s="90"/>
      <c r="N36" s="60" t="s">
        <v>39</v>
      </c>
      <c r="O36" s="60" t="s">
        <v>40</v>
      </c>
      <c r="P36" s="31" t="s">
        <v>50</v>
      </c>
      <c r="AK36" s="133"/>
      <c r="AL36" s="133"/>
      <c r="AM36" s="133"/>
      <c r="AN36" s="133"/>
      <c r="AO36" s="133"/>
      <c r="AP36" s="133"/>
      <c r="AQ36" s="133"/>
      <c r="AR36" s="133"/>
      <c r="AS36" s="133"/>
      <c r="AT36" s="133"/>
      <c r="AU36" s="133"/>
      <c r="AV36" s="133"/>
      <c r="AW36" s="133"/>
      <c r="AX36" s="133"/>
      <c r="AY36" s="133"/>
      <c r="AZ36" s="133"/>
      <c r="BA36" s="133"/>
      <c r="BB36" s="133"/>
      <c r="BC36" s="133"/>
      <c r="BD36" s="133"/>
      <c r="BE36" s="133"/>
      <c r="BF36" s="133"/>
      <c r="BG36" s="133"/>
      <c r="BH36" s="133"/>
    </row>
    <row r="37" ht="29.3" customHeight="1" spans="1:60">
      <c r="A37" s="35"/>
      <c r="B37" s="66"/>
      <c r="C37" s="89"/>
      <c r="D37" s="89"/>
      <c r="E37" s="89"/>
      <c r="F37" s="89"/>
      <c r="G37" s="89"/>
      <c r="H37" s="89"/>
      <c r="I37" s="89"/>
      <c r="J37" s="89"/>
      <c r="K37" s="89"/>
      <c r="L37" s="89"/>
      <c r="M37" s="89"/>
      <c r="N37" s="125"/>
      <c r="O37" s="125"/>
      <c r="P37" s="31">
        <f>COUNTA(C37:F39)</f>
        <v>0</v>
      </c>
      <c r="AK37" s="133"/>
      <c r="AL37" s="133"/>
      <c r="AM37" s="133"/>
      <c r="AN37" s="133"/>
      <c r="AO37" s="133"/>
      <c r="AP37" s="133"/>
      <c r="AQ37" s="133"/>
      <c r="AR37" s="133"/>
      <c r="AS37" s="133"/>
      <c r="AT37" s="133"/>
      <c r="AU37" s="133"/>
      <c r="AV37" s="133"/>
      <c r="AW37" s="133"/>
      <c r="AX37" s="133"/>
      <c r="AY37" s="133"/>
      <c r="AZ37" s="133"/>
      <c r="BA37" s="133"/>
      <c r="BB37" s="133"/>
      <c r="BC37" s="133"/>
      <c r="BD37" s="133"/>
      <c r="BE37" s="133"/>
      <c r="BF37" s="133"/>
      <c r="BG37" s="133"/>
      <c r="BH37" s="133"/>
    </row>
    <row r="38" ht="29.3" customHeight="1" spans="1:60">
      <c r="A38" s="35"/>
      <c r="B38" s="66"/>
      <c r="C38" s="87"/>
      <c r="D38" s="91"/>
      <c r="E38" s="91"/>
      <c r="F38" s="88"/>
      <c r="G38" s="87"/>
      <c r="H38" s="91"/>
      <c r="I38" s="88"/>
      <c r="J38" s="87"/>
      <c r="K38" s="91"/>
      <c r="L38" s="91"/>
      <c r="M38" s="88"/>
      <c r="N38" s="125"/>
      <c r="O38" s="125"/>
      <c r="AK38" s="133"/>
      <c r="AL38" s="133"/>
      <c r="AM38" s="133"/>
      <c r="AN38" s="133"/>
      <c r="AO38" s="133"/>
      <c r="AP38" s="133"/>
      <c r="AQ38" s="133"/>
      <c r="AR38" s="133"/>
      <c r="AS38" s="133"/>
      <c r="AT38" s="133"/>
      <c r="AU38" s="133"/>
      <c r="AV38" s="133"/>
      <c r="AW38" s="133"/>
      <c r="AX38" s="133"/>
      <c r="AY38" s="133"/>
      <c r="AZ38" s="133"/>
      <c r="BA38" s="133"/>
      <c r="BB38" s="133"/>
      <c r="BC38" s="133"/>
      <c r="BD38" s="133"/>
      <c r="BE38" s="133"/>
      <c r="BF38" s="133"/>
      <c r="BG38" s="133"/>
      <c r="BH38" s="133"/>
    </row>
    <row r="39" ht="29.3" customHeight="1" spans="1:60">
      <c r="A39" s="35"/>
      <c r="B39" s="66"/>
      <c r="C39" s="87"/>
      <c r="D39" s="91"/>
      <c r="E39" s="91"/>
      <c r="F39" s="88"/>
      <c r="G39" s="87"/>
      <c r="H39" s="91"/>
      <c r="I39" s="88"/>
      <c r="J39" s="87"/>
      <c r="K39" s="91"/>
      <c r="L39" s="91"/>
      <c r="M39" s="88"/>
      <c r="N39" s="125"/>
      <c r="O39" s="125"/>
      <c r="AK39" s="133"/>
      <c r="AL39" s="133"/>
      <c r="AM39" s="133"/>
      <c r="AN39" s="133"/>
      <c r="AO39" s="133"/>
      <c r="AP39" s="133"/>
      <c r="AQ39" s="133"/>
      <c r="AR39" s="133"/>
      <c r="AS39" s="133"/>
      <c r="AT39" s="133"/>
      <c r="AU39" s="133"/>
      <c r="AV39" s="133"/>
      <c r="AW39" s="133"/>
      <c r="AX39" s="133"/>
      <c r="AY39" s="133"/>
      <c r="AZ39" s="133"/>
      <c r="BA39" s="133"/>
      <c r="BB39" s="133"/>
      <c r="BC39" s="133"/>
      <c r="BD39" s="133"/>
      <c r="BE39" s="133"/>
      <c r="BF39" s="133"/>
      <c r="BG39" s="133"/>
      <c r="BH39" s="133"/>
    </row>
    <row r="40" ht="29.3" customHeight="1" spans="1:60">
      <c r="A40" s="35"/>
      <c r="B40" s="66" t="s">
        <v>51</v>
      </c>
      <c r="C40" s="92" t="str">
        <f ca="1">CONCATENATE(YEAR(TODAY())-3,"-",YEAR(TODAY())-2,"学年")</f>
        <v>2020-2021学年</v>
      </c>
      <c r="D40" s="92"/>
      <c r="E40" s="92"/>
      <c r="F40" s="92"/>
      <c r="G40" s="84" t="str">
        <f ca="1">CONCATENATE(YEAR(TODAY())-2,"-",YEAR(TODAY())-1,"学年")</f>
        <v>2021-2022学年</v>
      </c>
      <c r="H40" s="84"/>
      <c r="I40" s="90"/>
      <c r="J40" s="77" t="str">
        <f ca="1">CONCATENATE(YEAR(TODAY())-1,"-",YEAR(TODAY()),"学年")</f>
        <v>2022-2023学年</v>
      </c>
      <c r="K40" s="78"/>
      <c r="L40" s="79"/>
      <c r="M40" s="66" t="s">
        <v>52</v>
      </c>
      <c r="N40" s="60" t="s">
        <v>39</v>
      </c>
      <c r="O40" s="60" t="s">
        <v>40</v>
      </c>
      <c r="P40" s="31" t="s">
        <v>53</v>
      </c>
      <c r="Q40" s="131" t="s">
        <v>54</v>
      </c>
      <c r="R40" s="132"/>
      <c r="AK40" s="133"/>
      <c r="AL40" s="133"/>
      <c r="AM40" s="133"/>
      <c r="AN40" s="133"/>
      <c r="AO40" s="133"/>
      <c r="AP40" s="133"/>
      <c r="AQ40" s="133"/>
      <c r="AR40" s="133"/>
      <c r="AS40" s="133"/>
      <c r="AT40" s="133"/>
      <c r="AU40" s="133"/>
      <c r="AV40" s="133"/>
      <c r="AW40" s="133"/>
      <c r="AX40" s="133"/>
      <c r="AY40" s="133"/>
      <c r="AZ40" s="133"/>
      <c r="BA40" s="133"/>
      <c r="BB40" s="133"/>
      <c r="BC40" s="133"/>
      <c r="BD40" s="133"/>
      <c r="BE40" s="133"/>
      <c r="BF40" s="133"/>
      <c r="BG40" s="133"/>
      <c r="BH40" s="133"/>
    </row>
    <row r="41" ht="29.3" customHeight="1" spans="1:60">
      <c r="A41" s="35"/>
      <c r="B41" s="60"/>
      <c r="C41" s="87"/>
      <c r="D41" s="91"/>
      <c r="E41" s="91"/>
      <c r="F41" s="88"/>
      <c r="G41" s="87"/>
      <c r="H41" s="91"/>
      <c r="I41" s="88"/>
      <c r="J41" s="87"/>
      <c r="K41" s="91"/>
      <c r="L41" s="88"/>
      <c r="M41" s="126">
        <f>IF(SUM(C41:L41)&lt;&gt;0,SUM(C41:L41)/3,0)</f>
        <v>0</v>
      </c>
      <c r="N41" s="125"/>
      <c r="O41" s="125"/>
      <c r="P41" s="31">
        <f>IF(K29&lt;&gt;"",IF(K29="专任教师",ROUNDDOWN((M41+M43-360)/30,0),ROUNDDOWN((M41+M43)/30,0)),0)</f>
        <v>0</v>
      </c>
      <c r="Q41" s="131" t="str">
        <f>IF(OR((M41+M43)&gt;=360,K29="二级教学单位负责人",K29="“双肩挑”人员",K29="非教学单位人员"),"满足","不满足")</f>
        <v>不满足</v>
      </c>
      <c r="R41" s="132"/>
      <c r="AK41" s="133"/>
      <c r="AL41" s="133"/>
      <c r="AM41" s="133"/>
      <c r="AN41" s="133"/>
      <c r="AO41" s="133"/>
      <c r="AP41" s="133"/>
      <c r="AQ41" s="133"/>
      <c r="AR41" s="133"/>
      <c r="AS41" s="133"/>
      <c r="AT41" s="133"/>
      <c r="AU41" s="133"/>
      <c r="AV41" s="133"/>
      <c r="AW41" s="133"/>
      <c r="AX41" s="133"/>
      <c r="AY41" s="133"/>
      <c r="AZ41" s="133"/>
      <c r="BA41" s="133"/>
      <c r="BB41" s="133"/>
      <c r="BC41" s="133"/>
      <c r="BD41" s="133"/>
      <c r="BE41" s="133"/>
      <c r="BF41" s="133"/>
      <c r="BG41" s="133"/>
      <c r="BH41" s="133"/>
    </row>
    <row r="42" ht="29.3" customHeight="1" spans="1:60">
      <c r="A42" s="35"/>
      <c r="B42" s="66" t="s">
        <v>55</v>
      </c>
      <c r="C42" s="92" t="str">
        <f ca="1">CONCATENATE(YEAR(TODAY())-3,"-",YEAR(TODAY())-2,"学年")</f>
        <v>2020-2021学年</v>
      </c>
      <c r="D42" s="92"/>
      <c r="E42" s="92"/>
      <c r="F42" s="92"/>
      <c r="G42" s="84" t="str">
        <f ca="1">CONCATENATE(YEAR(TODAY())-2,"-",YEAR(TODAY())-1,"学年")</f>
        <v>2021-2022学年</v>
      </c>
      <c r="H42" s="84"/>
      <c r="I42" s="90"/>
      <c r="J42" s="77" t="str">
        <f ca="1">CONCATENATE(YEAR(TODAY())-1,"-",YEAR(TODAY()),"学年")</f>
        <v>2022-2023学年</v>
      </c>
      <c r="K42" s="78"/>
      <c r="L42" s="79"/>
      <c r="M42" s="66" t="s">
        <v>52</v>
      </c>
      <c r="N42" s="60" t="s">
        <v>39</v>
      </c>
      <c r="O42" s="60" t="s">
        <v>40</v>
      </c>
      <c r="P42" s="31"/>
      <c r="Q42" s="131"/>
      <c r="R42" s="132"/>
      <c r="AK42" s="133"/>
      <c r="AL42" s="133"/>
      <c r="AM42" s="133"/>
      <c r="AN42" s="133"/>
      <c r="AO42" s="133"/>
      <c r="AP42" s="133"/>
      <c r="AQ42" s="133"/>
      <c r="AR42" s="133"/>
      <c r="AS42" s="133"/>
      <c r="AT42" s="133"/>
      <c r="AU42" s="133"/>
      <c r="AV42" s="133"/>
      <c r="AW42" s="133"/>
      <c r="AX42" s="133"/>
      <c r="AY42" s="133"/>
      <c r="AZ42" s="133"/>
      <c r="BA42" s="133"/>
      <c r="BB42" s="133"/>
      <c r="BC42" s="133"/>
      <c r="BD42" s="133"/>
      <c r="BE42" s="133"/>
      <c r="BF42" s="133"/>
      <c r="BG42" s="133"/>
      <c r="BH42" s="133"/>
    </row>
    <row r="43" ht="29.3" customHeight="1" spans="1:60">
      <c r="A43" s="35"/>
      <c r="B43" s="60"/>
      <c r="C43" s="87"/>
      <c r="D43" s="91"/>
      <c r="E43" s="91"/>
      <c r="F43" s="88"/>
      <c r="G43" s="87"/>
      <c r="H43" s="91"/>
      <c r="I43" s="88"/>
      <c r="J43" s="87"/>
      <c r="K43" s="91"/>
      <c r="L43" s="88"/>
      <c r="M43" s="126">
        <f>IF(SUM(C43:L43)&lt;&gt;0,SUM(C43:L43)/3,0)</f>
        <v>0</v>
      </c>
      <c r="N43" s="125"/>
      <c r="O43" s="125"/>
      <c r="P43" s="31"/>
      <c r="Q43" s="131"/>
      <c r="R43" s="132"/>
      <c r="AK43" s="133"/>
      <c r="AL43" s="133"/>
      <c r="AM43" s="133"/>
      <c r="AN43" s="133"/>
      <c r="AO43" s="133"/>
      <c r="AP43" s="133"/>
      <c r="AQ43" s="133"/>
      <c r="AR43" s="133"/>
      <c r="AS43" s="133"/>
      <c r="AT43" s="133"/>
      <c r="AU43" s="133"/>
      <c r="AV43" s="133"/>
      <c r="AW43" s="133"/>
      <c r="AX43" s="133"/>
      <c r="AY43" s="133"/>
      <c r="AZ43" s="133"/>
      <c r="BA43" s="133"/>
      <c r="BB43" s="133"/>
      <c r="BC43" s="133"/>
      <c r="BD43" s="133"/>
      <c r="BE43" s="133"/>
      <c r="BF43" s="133"/>
      <c r="BG43" s="133"/>
      <c r="BH43" s="133"/>
    </row>
    <row r="44" ht="29.3" customHeight="1" spans="1:60">
      <c r="A44" s="35"/>
      <c r="B44" s="66" t="s">
        <v>56</v>
      </c>
      <c r="C44" s="93" t="str">
        <f ca="1">CONCATENATE(YEAR(TODAY())-5,"年")</f>
        <v>2018年</v>
      </c>
      <c r="D44" s="94"/>
      <c r="E44" s="93" t="str">
        <f ca="1">CONCATENATE(YEAR(TODAY())-4,"年")</f>
        <v>2019年</v>
      </c>
      <c r="F44" s="94"/>
      <c r="G44" s="83" t="str">
        <f ca="1">CONCATENATE(YEAR(TODAY())-3,"年")</f>
        <v>2020年</v>
      </c>
      <c r="H44" s="90"/>
      <c r="I44" s="77" t="str">
        <f ca="1">CONCATENATE(YEAR(TODAY())-2,"年")</f>
        <v>2021年</v>
      </c>
      <c r="J44" s="127"/>
      <c r="K44" s="77" t="str">
        <f ca="1">CONCATENATE(YEAR(TODAY())-1,"(",CONCATENATE(YEAR(TODAY()),"年"),")","年")</f>
        <v>2022(2023年)年</v>
      </c>
      <c r="L44" s="79"/>
      <c r="M44" s="66" t="s">
        <v>57</v>
      </c>
      <c r="N44" s="60" t="s">
        <v>39</v>
      </c>
      <c r="O44" s="60" t="s">
        <v>40</v>
      </c>
      <c r="P44" s="31" t="s">
        <v>58</v>
      </c>
      <c r="Q44" s="131" t="s">
        <v>59</v>
      </c>
      <c r="R44" s="132"/>
      <c r="AK44" s="133"/>
      <c r="AL44" s="133"/>
      <c r="AM44" s="133"/>
      <c r="AN44" s="133"/>
      <c r="AO44" s="133"/>
      <c r="AP44" s="133"/>
      <c r="AQ44" s="133"/>
      <c r="AR44" s="133"/>
      <c r="AS44" s="133"/>
      <c r="AT44" s="133"/>
      <c r="AU44" s="133"/>
      <c r="AV44" s="133"/>
      <c r="AW44" s="133"/>
      <c r="AX44" s="133"/>
      <c r="AY44" s="133"/>
      <c r="AZ44" s="133"/>
      <c r="BA44" s="133"/>
      <c r="BB44" s="133"/>
      <c r="BC44" s="133"/>
      <c r="BD44" s="133"/>
      <c r="BE44" s="133"/>
      <c r="BF44" s="133"/>
      <c r="BG44" s="133"/>
      <c r="BH44" s="133"/>
    </row>
    <row r="45" ht="29.3" customHeight="1" spans="1:60">
      <c r="A45" s="35"/>
      <c r="B45" s="60"/>
      <c r="C45" s="95"/>
      <c r="D45" s="96"/>
      <c r="E45" s="95"/>
      <c r="F45" s="96"/>
      <c r="G45" s="95"/>
      <c r="H45" s="96"/>
      <c r="I45" s="95"/>
      <c r="J45" s="96"/>
      <c r="K45" s="95"/>
      <c r="L45" s="96"/>
      <c r="M45" s="66" t="str">
        <f>IF(SUM(C45:L45)&gt;0,SUM(C45:L45),"")</f>
        <v/>
      </c>
      <c r="N45" s="125"/>
      <c r="O45" s="125"/>
      <c r="P45" s="31" t="str">
        <f>IF(M45&lt;&gt;"",IF(M45/22&gt;=2,3,0),"")</f>
        <v/>
      </c>
      <c r="Q45" s="131" t="str">
        <f>IF(OR(K29="非教学单位人员",K29="“双肩挑”人员",AND(M45&lt;&gt;"",P45&gt;0)),"满足","不满足")</f>
        <v>不满足</v>
      </c>
      <c r="R45" s="132"/>
      <c r="AK45" s="133"/>
      <c r="AL45" s="133"/>
      <c r="AM45" s="133"/>
      <c r="AN45" s="133"/>
      <c r="AO45" s="133"/>
      <c r="AP45" s="133"/>
      <c r="AQ45" s="133"/>
      <c r="AR45" s="133"/>
      <c r="AS45" s="133"/>
      <c r="AT45" s="133"/>
      <c r="AU45" s="133"/>
      <c r="AV45" s="133"/>
      <c r="AW45" s="133"/>
      <c r="AX45" s="133"/>
      <c r="AY45" s="133"/>
      <c r="AZ45" s="133"/>
      <c r="BA45" s="133"/>
      <c r="BB45" s="133"/>
      <c r="BC45" s="133"/>
      <c r="BD45" s="133"/>
      <c r="BE45" s="133"/>
      <c r="BF45" s="133"/>
      <c r="BG45" s="133"/>
      <c r="BH45" s="133"/>
    </row>
    <row r="46" ht="29.3" customHeight="1" spans="1:60">
      <c r="A46" s="35"/>
      <c r="B46" s="97" t="s">
        <v>60</v>
      </c>
      <c r="C46" s="83" t="s">
        <v>61</v>
      </c>
      <c r="D46" s="90"/>
      <c r="E46" s="83" t="s">
        <v>62</v>
      </c>
      <c r="F46" s="90"/>
      <c r="G46" s="83" t="s">
        <v>63</v>
      </c>
      <c r="H46" s="84"/>
      <c r="I46" s="90"/>
      <c r="J46" s="83" t="s">
        <v>64</v>
      </c>
      <c r="K46" s="90"/>
      <c r="L46" s="83" t="s">
        <v>65</v>
      </c>
      <c r="M46" s="90"/>
      <c r="N46" s="60" t="s">
        <v>39</v>
      </c>
      <c r="O46" s="60" t="s">
        <v>40</v>
      </c>
      <c r="P46" s="31" t="s">
        <v>66</v>
      </c>
      <c r="Q46" s="31" t="s">
        <v>67</v>
      </c>
      <c r="R46" s="130" t="s">
        <v>68</v>
      </c>
      <c r="S46" s="120" t="s">
        <v>69</v>
      </c>
      <c r="AK46" s="133"/>
      <c r="AL46" s="133"/>
      <c r="AM46" s="133"/>
      <c r="AN46" s="133"/>
      <c r="AO46" s="133"/>
      <c r="AP46" s="133"/>
      <c r="AQ46" s="133"/>
      <c r="AR46" s="133"/>
      <c r="AS46" s="133"/>
      <c r="AT46" s="133"/>
      <c r="AU46" s="133"/>
      <c r="AV46" s="133"/>
      <c r="AW46" s="133"/>
      <c r="AX46" s="133"/>
      <c r="AY46" s="133"/>
      <c r="AZ46" s="133"/>
      <c r="BA46" s="133"/>
      <c r="BB46" s="133"/>
      <c r="BC46" s="133"/>
      <c r="BD46" s="133"/>
      <c r="BE46" s="133"/>
      <c r="BF46" s="133"/>
      <c r="BG46" s="133"/>
      <c r="BH46" s="133"/>
    </row>
    <row r="47" ht="29.3" customHeight="1" spans="1:60">
      <c r="A47" s="35"/>
      <c r="B47" s="98"/>
      <c r="C47" s="95"/>
      <c r="D47" s="96"/>
      <c r="E47" s="95"/>
      <c r="F47" s="96"/>
      <c r="G47" s="95"/>
      <c r="H47" s="99"/>
      <c r="I47" s="96"/>
      <c r="J47" s="95"/>
      <c r="K47" s="96"/>
      <c r="L47" s="95"/>
      <c r="M47" s="96"/>
      <c r="N47" s="125"/>
      <c r="O47" s="125"/>
      <c r="P47" s="31">
        <f>IF(SUM(L47:M58)/3&gt;=60,3,0)</f>
        <v>0</v>
      </c>
      <c r="Q47" s="31">
        <f>IF(SUM(R47:S47)&gt;0,2,0)</f>
        <v>0</v>
      </c>
      <c r="R47" s="31">
        <f>COUNTIF(C47:D58,"国培项目")</f>
        <v>0</v>
      </c>
      <c r="S47" s="31">
        <f>COUNTIF(C47:D58,"境外线上线下培训")</f>
        <v>0</v>
      </c>
      <c r="AK47" s="133"/>
      <c r="AL47" s="133"/>
      <c r="AM47" s="133"/>
      <c r="AN47" s="133"/>
      <c r="AO47" s="133"/>
      <c r="AP47" s="133"/>
      <c r="AQ47" s="133"/>
      <c r="AR47" s="133"/>
      <c r="AS47" s="133"/>
      <c r="AT47" s="133"/>
      <c r="AU47" s="133"/>
      <c r="AV47" s="133"/>
      <c r="AW47" s="133"/>
      <c r="AX47" s="133"/>
      <c r="AY47" s="133"/>
      <c r="AZ47" s="133"/>
      <c r="BA47" s="133"/>
      <c r="BB47" s="133"/>
      <c r="BC47" s="133"/>
      <c r="BD47" s="133"/>
      <c r="BE47" s="133"/>
      <c r="BF47" s="133"/>
      <c r="BG47" s="133"/>
      <c r="BH47" s="133"/>
    </row>
    <row r="48" ht="29.3" customHeight="1" spans="1:60">
      <c r="A48" s="35"/>
      <c r="B48" s="98"/>
      <c r="C48" s="95"/>
      <c r="D48" s="96"/>
      <c r="E48" s="95"/>
      <c r="F48" s="96"/>
      <c r="G48" s="95"/>
      <c r="H48" s="99"/>
      <c r="I48" s="96"/>
      <c r="J48" s="95"/>
      <c r="K48" s="96"/>
      <c r="L48" s="95"/>
      <c r="M48" s="96"/>
      <c r="N48" s="125"/>
      <c r="O48" s="125"/>
      <c r="AK48" s="133"/>
      <c r="AL48" s="133"/>
      <c r="AM48" s="133"/>
      <c r="AN48" s="133"/>
      <c r="AO48" s="133"/>
      <c r="AP48" s="133"/>
      <c r="AQ48" s="133"/>
      <c r="AR48" s="133"/>
      <c r="AS48" s="133"/>
      <c r="AT48" s="133"/>
      <c r="AU48" s="133"/>
      <c r="AV48" s="133"/>
      <c r="AW48" s="133"/>
      <c r="AX48" s="133"/>
      <c r="AY48" s="133"/>
      <c r="AZ48" s="133"/>
      <c r="BA48" s="133"/>
      <c r="BB48" s="133"/>
      <c r="BC48" s="133"/>
      <c r="BD48" s="133"/>
      <c r="BE48" s="133"/>
      <c r="BF48" s="133"/>
      <c r="BG48" s="133"/>
      <c r="BH48" s="133"/>
    </row>
    <row r="49" ht="29.3" customHeight="1" spans="1:60">
      <c r="A49" s="35"/>
      <c r="B49" s="98"/>
      <c r="C49" s="95"/>
      <c r="D49" s="96"/>
      <c r="E49" s="95"/>
      <c r="F49" s="96"/>
      <c r="G49" s="95"/>
      <c r="H49" s="99"/>
      <c r="I49" s="96"/>
      <c r="J49" s="95"/>
      <c r="K49" s="96"/>
      <c r="L49" s="95"/>
      <c r="M49" s="96"/>
      <c r="N49" s="125"/>
      <c r="O49" s="125"/>
      <c r="AK49" s="133"/>
      <c r="AL49" s="133"/>
      <c r="AM49" s="133"/>
      <c r="AN49" s="133"/>
      <c r="AO49" s="133"/>
      <c r="AP49" s="133"/>
      <c r="AQ49" s="133"/>
      <c r="AR49" s="133"/>
      <c r="AS49" s="133"/>
      <c r="AT49" s="133"/>
      <c r="AU49" s="133"/>
      <c r="AV49" s="133"/>
      <c r="AW49" s="133"/>
      <c r="AX49" s="133"/>
      <c r="AY49" s="133"/>
      <c r="AZ49" s="133"/>
      <c r="BA49" s="133"/>
      <c r="BB49" s="133"/>
      <c r="BC49" s="133"/>
      <c r="BD49" s="133"/>
      <c r="BE49" s="133"/>
      <c r="BF49" s="133"/>
      <c r="BG49" s="133"/>
      <c r="BH49" s="133"/>
    </row>
    <row r="50" ht="29.3" customHeight="1" spans="1:60">
      <c r="A50" s="35"/>
      <c r="B50" s="98"/>
      <c r="C50" s="95"/>
      <c r="D50" s="96"/>
      <c r="E50" s="95"/>
      <c r="F50" s="96"/>
      <c r="G50" s="95"/>
      <c r="H50" s="99"/>
      <c r="I50" s="96"/>
      <c r="J50" s="95"/>
      <c r="K50" s="96"/>
      <c r="L50" s="95"/>
      <c r="M50" s="96"/>
      <c r="N50" s="125"/>
      <c r="O50" s="125"/>
      <c r="AK50" s="133"/>
      <c r="AL50" s="133"/>
      <c r="AM50" s="133"/>
      <c r="AN50" s="133"/>
      <c r="AO50" s="133"/>
      <c r="AP50" s="133"/>
      <c r="AQ50" s="133"/>
      <c r="AR50" s="133"/>
      <c r="AS50" s="133"/>
      <c r="AT50" s="133"/>
      <c r="AU50" s="133"/>
      <c r="AV50" s="133"/>
      <c r="AW50" s="133"/>
      <c r="AX50" s="133"/>
      <c r="AY50" s="133"/>
      <c r="AZ50" s="133"/>
      <c r="BA50" s="133"/>
      <c r="BB50" s="133"/>
      <c r="BC50" s="133"/>
      <c r="BD50" s="133"/>
      <c r="BE50" s="133"/>
      <c r="BF50" s="133"/>
      <c r="BG50" s="133"/>
      <c r="BH50" s="133"/>
    </row>
    <row r="51" ht="29.3" customHeight="1" spans="1:60">
      <c r="A51" s="35"/>
      <c r="B51" s="98"/>
      <c r="C51" s="95"/>
      <c r="D51" s="96"/>
      <c r="E51" s="95"/>
      <c r="F51" s="96"/>
      <c r="G51" s="95"/>
      <c r="H51" s="99"/>
      <c r="I51" s="96"/>
      <c r="J51" s="95"/>
      <c r="K51" s="96"/>
      <c r="L51" s="95"/>
      <c r="M51" s="96"/>
      <c r="N51" s="125"/>
      <c r="O51" s="125"/>
      <c r="AK51" s="133"/>
      <c r="AL51" s="133"/>
      <c r="AM51" s="133"/>
      <c r="AN51" s="133"/>
      <c r="AO51" s="133"/>
      <c r="AP51" s="133"/>
      <c r="AQ51" s="133"/>
      <c r="AR51" s="133"/>
      <c r="AS51" s="133"/>
      <c r="AT51" s="133"/>
      <c r="AU51" s="133"/>
      <c r="AV51" s="133"/>
      <c r="AW51" s="133"/>
      <c r="AX51" s="133"/>
      <c r="AY51" s="133"/>
      <c r="AZ51" s="133"/>
      <c r="BA51" s="133"/>
      <c r="BB51" s="133"/>
      <c r="BC51" s="133"/>
      <c r="BD51" s="133"/>
      <c r="BE51" s="133"/>
      <c r="BF51" s="133"/>
      <c r="BG51" s="133"/>
      <c r="BH51" s="133"/>
    </row>
    <row r="52" ht="29.3" customHeight="1" spans="1:60">
      <c r="A52" s="35"/>
      <c r="B52" s="98"/>
      <c r="C52" s="95"/>
      <c r="D52" s="96"/>
      <c r="E52" s="95"/>
      <c r="F52" s="96"/>
      <c r="G52" s="95"/>
      <c r="H52" s="99"/>
      <c r="I52" s="96"/>
      <c r="J52" s="95"/>
      <c r="K52" s="96"/>
      <c r="L52" s="95"/>
      <c r="M52" s="96"/>
      <c r="N52" s="125"/>
      <c r="O52" s="125"/>
      <c r="AK52" s="133"/>
      <c r="AL52" s="133"/>
      <c r="AM52" s="133"/>
      <c r="AN52" s="133"/>
      <c r="AO52" s="133"/>
      <c r="AP52" s="133"/>
      <c r="AQ52" s="133"/>
      <c r="AR52" s="133"/>
      <c r="AS52" s="133"/>
      <c r="AT52" s="133"/>
      <c r="AU52" s="133"/>
      <c r="AV52" s="133"/>
      <c r="AW52" s="133"/>
      <c r="AX52" s="133"/>
      <c r="AY52" s="133"/>
      <c r="AZ52" s="133"/>
      <c r="BA52" s="133"/>
      <c r="BB52" s="133"/>
      <c r="BC52" s="133"/>
      <c r="BD52" s="133"/>
      <c r="BE52" s="133"/>
      <c r="BF52" s="133"/>
      <c r="BG52" s="133"/>
      <c r="BH52" s="133"/>
    </row>
    <row r="53" ht="29.3" customHeight="1" spans="1:60">
      <c r="A53" s="35"/>
      <c r="B53" s="98"/>
      <c r="C53" s="95"/>
      <c r="D53" s="96"/>
      <c r="E53" s="95"/>
      <c r="F53" s="96"/>
      <c r="G53" s="95"/>
      <c r="H53" s="99"/>
      <c r="I53" s="96"/>
      <c r="J53" s="95"/>
      <c r="K53" s="96"/>
      <c r="L53" s="95"/>
      <c r="M53" s="96"/>
      <c r="N53" s="125"/>
      <c r="O53" s="125"/>
      <c r="AK53" s="133"/>
      <c r="AL53" s="133"/>
      <c r="AM53" s="133"/>
      <c r="AN53" s="133"/>
      <c r="AO53" s="133"/>
      <c r="AP53" s="133"/>
      <c r="AQ53" s="133"/>
      <c r="AR53" s="133"/>
      <c r="AS53" s="133"/>
      <c r="AT53" s="133"/>
      <c r="AU53" s="133"/>
      <c r="AV53" s="133"/>
      <c r="AW53" s="133"/>
      <c r="AX53" s="133"/>
      <c r="AY53" s="133"/>
      <c r="AZ53" s="133"/>
      <c r="BA53" s="133"/>
      <c r="BB53" s="133"/>
      <c r="BC53" s="133"/>
      <c r="BD53" s="133"/>
      <c r="BE53" s="133"/>
      <c r="BF53" s="133"/>
      <c r="BG53" s="133"/>
      <c r="BH53" s="133"/>
    </row>
    <row r="54" ht="29.3" customHeight="1" spans="1:60">
      <c r="A54" s="35"/>
      <c r="B54" s="98"/>
      <c r="C54" s="95"/>
      <c r="D54" s="96"/>
      <c r="E54" s="95"/>
      <c r="F54" s="96"/>
      <c r="G54" s="95"/>
      <c r="H54" s="99"/>
      <c r="I54" s="96"/>
      <c r="J54" s="95"/>
      <c r="K54" s="96"/>
      <c r="L54" s="95"/>
      <c r="M54" s="96"/>
      <c r="N54" s="125"/>
      <c r="O54" s="125"/>
      <c r="AK54" s="133"/>
      <c r="AL54" s="133"/>
      <c r="AM54" s="133"/>
      <c r="AN54" s="133"/>
      <c r="AO54" s="133"/>
      <c r="AP54" s="133"/>
      <c r="AQ54" s="133"/>
      <c r="AR54" s="133"/>
      <c r="AS54" s="133"/>
      <c r="AT54" s="133"/>
      <c r="AU54" s="133"/>
      <c r="AV54" s="133"/>
      <c r="AW54" s="133"/>
      <c r="AX54" s="133"/>
      <c r="AY54" s="133"/>
      <c r="AZ54" s="133"/>
      <c r="BA54" s="133"/>
      <c r="BB54" s="133"/>
      <c r="BC54" s="133"/>
      <c r="BD54" s="133"/>
      <c r="BE54" s="133"/>
      <c r="BF54" s="133"/>
      <c r="BG54" s="133"/>
      <c r="BH54" s="133"/>
    </row>
    <row r="55" ht="29.3" customHeight="1" spans="1:60">
      <c r="A55" s="35"/>
      <c r="B55" s="98"/>
      <c r="C55" s="95"/>
      <c r="D55" s="96"/>
      <c r="E55" s="95"/>
      <c r="F55" s="96"/>
      <c r="G55" s="95"/>
      <c r="H55" s="99"/>
      <c r="I55" s="96"/>
      <c r="J55" s="95"/>
      <c r="K55" s="96"/>
      <c r="L55" s="95"/>
      <c r="M55" s="96"/>
      <c r="N55" s="125"/>
      <c r="O55" s="125"/>
      <c r="AK55" s="133"/>
      <c r="AL55" s="133"/>
      <c r="AM55" s="133"/>
      <c r="AN55" s="133"/>
      <c r="AO55" s="133"/>
      <c r="AP55" s="133"/>
      <c r="AQ55" s="133"/>
      <c r="AR55" s="133"/>
      <c r="AS55" s="133"/>
      <c r="AT55" s="133"/>
      <c r="AU55" s="133"/>
      <c r="AV55" s="133"/>
      <c r="AW55" s="133"/>
      <c r="AX55" s="133"/>
      <c r="AY55" s="133"/>
      <c r="AZ55" s="133"/>
      <c r="BA55" s="133"/>
      <c r="BB55" s="133"/>
      <c r="BC55" s="133"/>
      <c r="BD55" s="133"/>
      <c r="BE55" s="133"/>
      <c r="BF55" s="133"/>
      <c r="BG55" s="133"/>
      <c r="BH55" s="133"/>
    </row>
    <row r="56" ht="29.3" customHeight="1" spans="1:60">
      <c r="A56" s="35"/>
      <c r="B56" s="98"/>
      <c r="C56" s="95"/>
      <c r="D56" s="96"/>
      <c r="E56" s="95"/>
      <c r="F56" s="96"/>
      <c r="G56" s="95"/>
      <c r="H56" s="99"/>
      <c r="I56" s="96"/>
      <c r="J56" s="95"/>
      <c r="K56" s="96"/>
      <c r="L56" s="95"/>
      <c r="M56" s="96"/>
      <c r="N56" s="125"/>
      <c r="O56" s="125"/>
      <c r="AK56" s="133"/>
      <c r="AL56" s="133"/>
      <c r="AM56" s="133"/>
      <c r="AN56" s="133"/>
      <c r="AO56" s="133"/>
      <c r="AP56" s="133"/>
      <c r="AQ56" s="133"/>
      <c r="AR56" s="133"/>
      <c r="AS56" s="133"/>
      <c r="AT56" s="133"/>
      <c r="AU56" s="133"/>
      <c r="AV56" s="133"/>
      <c r="AW56" s="133"/>
      <c r="AX56" s="133"/>
      <c r="AY56" s="133"/>
      <c r="AZ56" s="133"/>
      <c r="BA56" s="133"/>
      <c r="BB56" s="133"/>
      <c r="BC56" s="133"/>
      <c r="BD56" s="133"/>
      <c r="BE56" s="133"/>
      <c r="BF56" s="133"/>
      <c r="BG56" s="133"/>
      <c r="BH56" s="133"/>
    </row>
    <row r="57" ht="29.3" customHeight="1" spans="1:60">
      <c r="A57" s="35"/>
      <c r="B57" s="98"/>
      <c r="C57" s="95"/>
      <c r="D57" s="96"/>
      <c r="E57" s="95"/>
      <c r="F57" s="96"/>
      <c r="G57" s="95"/>
      <c r="H57" s="99"/>
      <c r="I57" s="96"/>
      <c r="J57" s="95"/>
      <c r="K57" s="96"/>
      <c r="L57" s="95"/>
      <c r="M57" s="96"/>
      <c r="N57" s="125"/>
      <c r="O57" s="125"/>
      <c r="AK57" s="133"/>
      <c r="AL57" s="133"/>
      <c r="AM57" s="133"/>
      <c r="AN57" s="133"/>
      <c r="AO57" s="133"/>
      <c r="AP57" s="133"/>
      <c r="AQ57" s="133"/>
      <c r="AR57" s="133"/>
      <c r="AS57" s="133"/>
      <c r="AT57" s="133"/>
      <c r="AU57" s="133"/>
      <c r="AV57" s="133"/>
      <c r="AW57" s="133"/>
      <c r="AX57" s="133"/>
      <c r="AY57" s="133"/>
      <c r="AZ57" s="133"/>
      <c r="BA57" s="133"/>
      <c r="BB57" s="133"/>
      <c r="BC57" s="133"/>
      <c r="BD57" s="133"/>
      <c r="BE57" s="133"/>
      <c r="BF57" s="133"/>
      <c r="BG57" s="133"/>
      <c r="BH57" s="133"/>
    </row>
    <row r="58" ht="29.3" customHeight="1" spans="1:60">
      <c r="A58" s="35"/>
      <c r="B58" s="100"/>
      <c r="C58" s="95"/>
      <c r="D58" s="96"/>
      <c r="E58" s="95"/>
      <c r="F58" s="96"/>
      <c r="G58" s="95"/>
      <c r="H58" s="99"/>
      <c r="I58" s="96"/>
      <c r="J58" s="95"/>
      <c r="K58" s="96"/>
      <c r="L58" s="95"/>
      <c r="M58" s="96"/>
      <c r="N58" s="125"/>
      <c r="O58" s="125"/>
      <c r="AK58" s="133"/>
      <c r="AL58" s="133"/>
      <c r="AM58" s="133"/>
      <c r="AN58" s="133"/>
      <c r="AO58" s="133"/>
      <c r="AP58" s="133"/>
      <c r="AQ58" s="133"/>
      <c r="AR58" s="133"/>
      <c r="AS58" s="133"/>
      <c r="AT58" s="133"/>
      <c r="AU58" s="133"/>
      <c r="AV58" s="133"/>
      <c r="AW58" s="133"/>
      <c r="AX58" s="133"/>
      <c r="AY58" s="133"/>
      <c r="AZ58" s="133"/>
      <c r="BA58" s="133"/>
      <c r="BB58" s="133"/>
      <c r="BC58" s="133"/>
      <c r="BD58" s="133"/>
      <c r="BE58" s="133"/>
      <c r="BF58" s="133"/>
      <c r="BG58" s="133"/>
      <c r="BH58" s="133"/>
    </row>
    <row r="59" ht="29.3" customHeight="1" spans="1:60">
      <c r="A59" s="35"/>
      <c r="B59" s="97" t="s">
        <v>70</v>
      </c>
      <c r="C59" s="83" t="s">
        <v>71</v>
      </c>
      <c r="D59" s="90"/>
      <c r="E59" s="101" t="s">
        <v>72</v>
      </c>
      <c r="F59" s="101"/>
      <c r="G59" s="101" t="s">
        <v>73</v>
      </c>
      <c r="H59" s="101"/>
      <c r="I59" s="101" t="s">
        <v>74</v>
      </c>
      <c r="J59" s="101"/>
      <c r="K59" s="128" t="s">
        <v>75</v>
      </c>
      <c r="L59" s="101" t="s">
        <v>65</v>
      </c>
      <c r="M59" s="101"/>
      <c r="N59" s="60" t="s">
        <v>39</v>
      </c>
      <c r="O59" s="60" t="s">
        <v>40</v>
      </c>
      <c r="P59" s="31" t="s">
        <v>76</v>
      </c>
      <c r="AK59" s="133"/>
      <c r="AL59" s="133"/>
      <c r="AM59" s="133"/>
      <c r="AN59" s="133"/>
      <c r="AO59" s="133"/>
      <c r="AP59" s="133"/>
      <c r="AQ59" s="133"/>
      <c r="AR59" s="133"/>
      <c r="AS59" s="133"/>
      <c r="AT59" s="133"/>
      <c r="AU59" s="133"/>
      <c r="AV59" s="133"/>
      <c r="AW59" s="133"/>
      <c r="AX59" s="133"/>
      <c r="AY59" s="133"/>
      <c r="AZ59" s="133"/>
      <c r="BA59" s="133"/>
      <c r="BB59" s="133"/>
      <c r="BC59" s="133"/>
      <c r="BD59" s="133"/>
      <c r="BE59" s="133"/>
      <c r="BF59" s="133"/>
      <c r="BG59" s="133"/>
      <c r="BH59" s="133"/>
    </row>
    <row r="60" ht="29.3" customHeight="1" spans="1:60">
      <c r="A60" s="35"/>
      <c r="B60" s="98"/>
      <c r="C60" s="102"/>
      <c r="D60" s="103"/>
      <c r="E60" s="95"/>
      <c r="F60" s="96"/>
      <c r="G60" s="95"/>
      <c r="H60" s="96"/>
      <c r="I60" s="95"/>
      <c r="J60" s="96"/>
      <c r="K60" s="129"/>
      <c r="L60" s="95"/>
      <c r="M60" s="96"/>
      <c r="N60" s="125"/>
      <c r="O60" s="125"/>
      <c r="P60" s="31">
        <f>IF(SUM(L60:M67)&gt;=30,3,0)</f>
        <v>0</v>
      </c>
      <c r="AK60" s="133"/>
      <c r="AL60" s="133"/>
      <c r="AM60" s="133"/>
      <c r="AN60" s="133"/>
      <c r="AO60" s="133"/>
      <c r="AP60" s="133"/>
      <c r="AQ60" s="133"/>
      <c r="AR60" s="133"/>
      <c r="AS60" s="133"/>
      <c r="AT60" s="133"/>
      <c r="AU60" s="133"/>
      <c r="AV60" s="133"/>
      <c r="AW60" s="133"/>
      <c r="AX60" s="133"/>
      <c r="AY60" s="133"/>
      <c r="AZ60" s="133"/>
      <c r="BA60" s="133"/>
      <c r="BB60" s="133"/>
      <c r="BC60" s="133"/>
      <c r="BD60" s="133"/>
      <c r="BE60" s="133"/>
      <c r="BF60" s="133"/>
      <c r="BG60" s="133"/>
      <c r="BH60" s="133"/>
    </row>
    <row r="61" ht="29.3" customHeight="1" spans="1:60">
      <c r="A61" s="35"/>
      <c r="B61" s="98"/>
      <c r="C61" s="102"/>
      <c r="D61" s="103"/>
      <c r="E61" s="95"/>
      <c r="F61" s="96"/>
      <c r="G61" s="95"/>
      <c r="H61" s="96"/>
      <c r="I61" s="95"/>
      <c r="J61" s="96"/>
      <c r="K61" s="129"/>
      <c r="L61" s="95"/>
      <c r="M61" s="96"/>
      <c r="N61" s="125"/>
      <c r="O61" s="125"/>
      <c r="AK61" s="133"/>
      <c r="AL61" s="133"/>
      <c r="AM61" s="133"/>
      <c r="AN61" s="133"/>
      <c r="AO61" s="133"/>
      <c r="AP61" s="133"/>
      <c r="AQ61" s="133"/>
      <c r="AR61" s="133"/>
      <c r="AS61" s="133"/>
      <c r="AT61" s="133"/>
      <c r="AU61" s="133"/>
      <c r="AV61" s="133"/>
      <c r="AW61" s="133"/>
      <c r="AX61" s="133"/>
      <c r="AY61" s="133"/>
      <c r="AZ61" s="133"/>
      <c r="BA61" s="133"/>
      <c r="BB61" s="133"/>
      <c r="BC61" s="133"/>
      <c r="BD61" s="133"/>
      <c r="BE61" s="133"/>
      <c r="BF61" s="133"/>
      <c r="BG61" s="133"/>
      <c r="BH61" s="133"/>
    </row>
    <row r="62" ht="29.3" customHeight="1" spans="1:60">
      <c r="A62" s="35"/>
      <c r="B62" s="98"/>
      <c r="C62" s="102"/>
      <c r="D62" s="103"/>
      <c r="E62" s="95"/>
      <c r="F62" s="96"/>
      <c r="G62" s="95"/>
      <c r="H62" s="96"/>
      <c r="I62" s="95"/>
      <c r="J62" s="96"/>
      <c r="K62" s="129"/>
      <c r="L62" s="95"/>
      <c r="M62" s="96"/>
      <c r="N62" s="125"/>
      <c r="O62" s="125"/>
      <c r="AK62" s="133"/>
      <c r="AL62" s="133"/>
      <c r="AM62" s="133"/>
      <c r="AN62" s="133"/>
      <c r="AO62" s="133"/>
      <c r="AP62" s="133"/>
      <c r="AQ62" s="133"/>
      <c r="AR62" s="133"/>
      <c r="AS62" s="133"/>
      <c r="AT62" s="133"/>
      <c r="AU62" s="133"/>
      <c r="AV62" s="133"/>
      <c r="AW62" s="133"/>
      <c r="AX62" s="133"/>
      <c r="AY62" s="133"/>
      <c r="AZ62" s="133"/>
      <c r="BA62" s="133"/>
      <c r="BB62" s="133"/>
      <c r="BC62" s="133"/>
      <c r="BD62" s="133"/>
      <c r="BE62" s="133"/>
      <c r="BF62" s="133"/>
      <c r="BG62" s="133"/>
      <c r="BH62" s="133"/>
    </row>
    <row r="63" ht="29.3" customHeight="1" spans="1:60">
      <c r="A63" s="35"/>
      <c r="B63" s="98"/>
      <c r="C63" s="102"/>
      <c r="D63" s="103"/>
      <c r="E63" s="95"/>
      <c r="F63" s="96"/>
      <c r="G63" s="95"/>
      <c r="H63" s="96"/>
      <c r="I63" s="95"/>
      <c r="J63" s="96"/>
      <c r="K63" s="129"/>
      <c r="L63" s="95"/>
      <c r="M63" s="96"/>
      <c r="N63" s="125"/>
      <c r="O63" s="125"/>
      <c r="AK63" s="133"/>
      <c r="AL63" s="133"/>
      <c r="AM63" s="133"/>
      <c r="AN63" s="133"/>
      <c r="AO63" s="133"/>
      <c r="AP63" s="133"/>
      <c r="AQ63" s="133"/>
      <c r="AR63" s="133"/>
      <c r="AS63" s="133"/>
      <c r="AT63" s="133"/>
      <c r="AU63" s="133"/>
      <c r="AV63" s="133"/>
      <c r="AW63" s="133"/>
      <c r="AX63" s="133"/>
      <c r="AY63" s="133"/>
      <c r="AZ63" s="133"/>
      <c r="BA63" s="133"/>
      <c r="BB63" s="133"/>
      <c r="BC63" s="133"/>
      <c r="BD63" s="133"/>
      <c r="BE63" s="133"/>
      <c r="BF63" s="133"/>
      <c r="BG63" s="133"/>
      <c r="BH63" s="133"/>
    </row>
    <row r="64" ht="29.3" customHeight="1" spans="1:60">
      <c r="A64" s="35"/>
      <c r="B64" s="98"/>
      <c r="C64" s="102"/>
      <c r="D64" s="103"/>
      <c r="E64" s="95"/>
      <c r="F64" s="96"/>
      <c r="G64" s="95"/>
      <c r="H64" s="96"/>
      <c r="I64" s="95"/>
      <c r="J64" s="96"/>
      <c r="K64" s="129"/>
      <c r="L64" s="95"/>
      <c r="M64" s="96"/>
      <c r="N64" s="125"/>
      <c r="O64" s="125"/>
      <c r="AK64" s="133"/>
      <c r="AL64" s="133"/>
      <c r="AM64" s="133"/>
      <c r="AN64" s="133"/>
      <c r="AO64" s="133"/>
      <c r="AP64" s="133"/>
      <c r="AQ64" s="133"/>
      <c r="AR64" s="133"/>
      <c r="AS64" s="133"/>
      <c r="AT64" s="133"/>
      <c r="AU64" s="133"/>
      <c r="AV64" s="133"/>
      <c r="AW64" s="133"/>
      <c r="AX64" s="133"/>
      <c r="AY64" s="133"/>
      <c r="AZ64" s="133"/>
      <c r="BA64" s="133"/>
      <c r="BB64" s="133"/>
      <c r="BC64" s="133"/>
      <c r="BD64" s="133"/>
      <c r="BE64" s="133"/>
      <c r="BF64" s="133"/>
      <c r="BG64" s="133"/>
      <c r="BH64" s="133"/>
    </row>
    <row r="65" ht="29.3" customHeight="1" spans="1:60">
      <c r="A65" s="35"/>
      <c r="B65" s="98"/>
      <c r="C65" s="102"/>
      <c r="D65" s="103"/>
      <c r="E65" s="95"/>
      <c r="F65" s="96"/>
      <c r="G65" s="95"/>
      <c r="H65" s="96"/>
      <c r="I65" s="95"/>
      <c r="J65" s="96"/>
      <c r="K65" s="129"/>
      <c r="L65" s="95"/>
      <c r="M65" s="96"/>
      <c r="N65" s="125"/>
      <c r="O65" s="125"/>
      <c r="AK65" s="133"/>
      <c r="AL65" s="133"/>
      <c r="AM65" s="133"/>
      <c r="AN65" s="133"/>
      <c r="AO65" s="133"/>
      <c r="AP65" s="133"/>
      <c r="AQ65" s="133"/>
      <c r="AR65" s="133"/>
      <c r="AS65" s="133"/>
      <c r="AT65" s="133"/>
      <c r="AU65" s="133"/>
      <c r="AV65" s="133"/>
      <c r="AW65" s="133"/>
      <c r="AX65" s="133"/>
      <c r="AY65" s="133"/>
      <c r="AZ65" s="133"/>
      <c r="BA65" s="133"/>
      <c r="BB65" s="133"/>
      <c r="BC65" s="133"/>
      <c r="BD65" s="133"/>
      <c r="BE65" s="133"/>
      <c r="BF65" s="133"/>
      <c r="BG65" s="133"/>
      <c r="BH65" s="133"/>
    </row>
    <row r="66" ht="29.3" customHeight="1" spans="1:60">
      <c r="A66" s="35"/>
      <c r="B66" s="98"/>
      <c r="C66" s="102"/>
      <c r="D66" s="103"/>
      <c r="E66" s="95"/>
      <c r="F66" s="96"/>
      <c r="G66" s="95"/>
      <c r="H66" s="96"/>
      <c r="I66" s="95"/>
      <c r="J66" s="96"/>
      <c r="K66" s="129"/>
      <c r="L66" s="95"/>
      <c r="M66" s="96"/>
      <c r="N66" s="125"/>
      <c r="O66" s="125"/>
      <c r="AK66" s="133"/>
      <c r="AL66" s="133"/>
      <c r="AM66" s="133"/>
      <c r="AN66" s="133"/>
      <c r="AO66" s="133"/>
      <c r="AP66" s="133"/>
      <c r="AQ66" s="133"/>
      <c r="AR66" s="133"/>
      <c r="AS66" s="133"/>
      <c r="AT66" s="133"/>
      <c r="AU66" s="133"/>
      <c r="AV66" s="133"/>
      <c r="AW66" s="133"/>
      <c r="AX66" s="133"/>
      <c r="AY66" s="133"/>
      <c r="AZ66" s="133"/>
      <c r="BA66" s="133"/>
      <c r="BB66" s="133"/>
      <c r="BC66" s="133"/>
      <c r="BD66" s="133"/>
      <c r="BE66" s="133"/>
      <c r="BF66" s="133"/>
      <c r="BG66" s="133"/>
      <c r="BH66" s="133"/>
    </row>
    <row r="67" ht="29.3" customHeight="1" spans="1:60">
      <c r="A67" s="35"/>
      <c r="B67" s="98"/>
      <c r="C67" s="102"/>
      <c r="D67" s="103"/>
      <c r="E67" s="95"/>
      <c r="F67" s="96"/>
      <c r="G67" s="95"/>
      <c r="H67" s="96"/>
      <c r="I67" s="95"/>
      <c r="J67" s="96"/>
      <c r="K67" s="129"/>
      <c r="L67" s="95"/>
      <c r="M67" s="96"/>
      <c r="N67" s="125"/>
      <c r="O67" s="125"/>
      <c r="AK67" s="133"/>
      <c r="AL67" s="133"/>
      <c r="AM67" s="133"/>
      <c r="AN67" s="133"/>
      <c r="AO67" s="133"/>
      <c r="AP67" s="133"/>
      <c r="AQ67" s="133"/>
      <c r="AR67" s="133"/>
      <c r="AS67" s="133"/>
      <c r="AT67" s="133"/>
      <c r="AU67" s="133"/>
      <c r="AV67" s="133"/>
      <c r="AW67" s="133"/>
      <c r="AX67" s="133"/>
      <c r="AY67" s="133"/>
      <c r="AZ67" s="133"/>
      <c r="BA67" s="133"/>
      <c r="BB67" s="133"/>
      <c r="BC67" s="133"/>
      <c r="BD67" s="133"/>
      <c r="BE67" s="133"/>
      <c r="BF67" s="133"/>
      <c r="BG67" s="133"/>
      <c r="BH67" s="133"/>
    </row>
    <row r="68" ht="15" customHeight="1" spans="1:60">
      <c r="A68" s="35"/>
      <c r="B68" s="56"/>
      <c r="C68" s="57"/>
      <c r="D68" s="57"/>
      <c r="E68" s="56"/>
      <c r="F68" s="58"/>
      <c r="G68" s="56"/>
      <c r="H68" s="59"/>
      <c r="I68" s="59"/>
      <c r="J68" s="114"/>
      <c r="K68" s="115"/>
      <c r="L68" s="115"/>
      <c r="M68" s="116"/>
      <c r="N68" s="116"/>
      <c r="O68" s="107"/>
      <c r="P68" s="104"/>
      <c r="AK68" s="133"/>
      <c r="AL68" s="133"/>
      <c r="AM68" s="133"/>
      <c r="AN68" s="133"/>
      <c r="AO68" s="133"/>
      <c r="AP68" s="133"/>
      <c r="AQ68" s="133"/>
      <c r="AR68" s="133"/>
      <c r="AS68" s="133"/>
      <c r="AT68" s="133"/>
      <c r="AU68" s="133"/>
      <c r="AV68" s="133"/>
      <c r="AW68" s="133"/>
      <c r="AX68" s="133"/>
      <c r="AY68" s="133"/>
      <c r="AZ68" s="133"/>
      <c r="BA68" s="133"/>
      <c r="BB68" s="133"/>
      <c r="BC68" s="133"/>
      <c r="BD68" s="133"/>
      <c r="BE68" s="133"/>
      <c r="BF68" s="133"/>
      <c r="BG68" s="133"/>
      <c r="BH68" s="133"/>
    </row>
    <row r="69" ht="31" customHeight="1" spans="1:60">
      <c r="A69" s="35"/>
      <c r="B69" s="76" t="s">
        <v>77</v>
      </c>
      <c r="C69" s="76"/>
      <c r="D69" s="76"/>
      <c r="E69" s="76"/>
      <c r="F69" s="76"/>
      <c r="G69" s="76"/>
      <c r="H69" s="76"/>
      <c r="I69" s="76"/>
      <c r="J69" s="76"/>
      <c r="K69" s="76"/>
      <c r="L69" s="76"/>
      <c r="M69" s="76"/>
      <c r="N69" s="76"/>
      <c r="O69" s="76"/>
      <c r="AK69" s="133"/>
      <c r="AL69" s="133"/>
      <c r="AM69" s="133"/>
      <c r="AN69" s="133"/>
      <c r="AO69" s="133"/>
      <c r="AP69" s="133"/>
      <c r="AQ69" s="133"/>
      <c r="AR69" s="133"/>
      <c r="AS69" s="133"/>
      <c r="AT69" s="133"/>
      <c r="AU69" s="133"/>
      <c r="AV69" s="133"/>
      <c r="AW69" s="133"/>
      <c r="AX69" s="133"/>
      <c r="AY69" s="133"/>
      <c r="AZ69" s="133"/>
      <c r="BA69" s="133"/>
      <c r="BB69" s="133"/>
      <c r="BC69" s="133"/>
      <c r="BD69" s="133"/>
      <c r="BE69" s="133"/>
      <c r="BF69" s="133"/>
      <c r="BG69" s="133"/>
      <c r="BH69" s="133"/>
    </row>
    <row r="70" ht="31" customHeight="1" spans="1:60">
      <c r="A70" s="35"/>
      <c r="B70" s="134" t="s">
        <v>78</v>
      </c>
      <c r="C70" s="134"/>
      <c r="D70" s="134"/>
      <c r="E70" s="134"/>
      <c r="F70" s="134"/>
      <c r="G70" s="134"/>
      <c r="H70" s="134"/>
      <c r="I70" s="134"/>
      <c r="J70" s="134"/>
      <c r="K70" s="134"/>
      <c r="L70" s="134"/>
      <c r="M70" s="134"/>
      <c r="N70" s="134"/>
      <c r="O70" s="134"/>
      <c r="AK70" s="133"/>
      <c r="AL70" s="133"/>
      <c r="AM70" s="133"/>
      <c r="AN70" s="133"/>
      <c r="AO70" s="133"/>
      <c r="AP70" s="133"/>
      <c r="AQ70" s="133"/>
      <c r="AR70" s="133"/>
      <c r="AS70" s="133"/>
      <c r="AT70" s="133"/>
      <c r="AU70" s="133"/>
      <c r="AV70" s="133"/>
      <c r="AW70" s="133"/>
      <c r="AX70" s="133"/>
      <c r="AY70" s="133"/>
      <c r="AZ70" s="133"/>
      <c r="BA70" s="133"/>
      <c r="BB70" s="133"/>
      <c r="BC70" s="133"/>
      <c r="BD70" s="133"/>
      <c r="BE70" s="133"/>
      <c r="BF70" s="133"/>
      <c r="BG70" s="133"/>
      <c r="BH70" s="133"/>
    </row>
    <row r="71" ht="31" customHeight="1" spans="1:60">
      <c r="A71" s="35"/>
      <c r="B71" s="92" t="s">
        <v>79</v>
      </c>
      <c r="C71" s="60" t="s">
        <v>80</v>
      </c>
      <c r="D71" s="60"/>
      <c r="E71" s="60"/>
      <c r="F71" s="60" t="s">
        <v>81</v>
      </c>
      <c r="G71" s="60"/>
      <c r="H71" s="60" t="s">
        <v>82</v>
      </c>
      <c r="I71" s="60" t="s">
        <v>83</v>
      </c>
      <c r="J71" s="60" t="s">
        <v>84</v>
      </c>
      <c r="K71" s="60" t="s">
        <v>85</v>
      </c>
      <c r="L71" s="60" t="s">
        <v>86</v>
      </c>
      <c r="M71" s="60" t="s">
        <v>87</v>
      </c>
      <c r="N71" s="60" t="s">
        <v>39</v>
      </c>
      <c r="O71" s="60" t="s">
        <v>40</v>
      </c>
      <c r="P71" s="31" t="s">
        <v>88</v>
      </c>
      <c r="Q71" s="130" t="s">
        <v>89</v>
      </c>
      <c r="R71" s="130" t="s">
        <v>90</v>
      </c>
      <c r="S71" s="130" t="s">
        <v>91</v>
      </c>
      <c r="T71" s="130" t="s">
        <v>92</v>
      </c>
      <c r="U71" s="130" t="s">
        <v>93</v>
      </c>
      <c r="V71" s="130" t="s">
        <v>94</v>
      </c>
      <c r="W71" s="130" t="s">
        <v>95</v>
      </c>
      <c r="X71" s="130" t="s">
        <v>96</v>
      </c>
      <c r="Y71" s="164" t="s">
        <v>97</v>
      </c>
      <c r="Z71" s="131" t="s">
        <v>98</v>
      </c>
      <c r="AA71" s="132"/>
      <c r="AB71" s="120" t="s">
        <v>99</v>
      </c>
      <c r="AK71" s="133"/>
      <c r="AL71" s="133"/>
      <c r="AM71" s="133"/>
      <c r="AN71" s="133"/>
      <c r="AO71" s="133"/>
      <c r="AP71" s="133"/>
      <c r="AQ71" s="133"/>
      <c r="AR71" s="133"/>
      <c r="AS71" s="133"/>
      <c r="AT71" s="133"/>
      <c r="AU71" s="133"/>
      <c r="AV71" s="133"/>
      <c r="AW71" s="133"/>
      <c r="AX71" s="133"/>
      <c r="AY71" s="133"/>
      <c r="AZ71" s="133"/>
      <c r="BA71" s="133"/>
      <c r="BB71" s="133"/>
      <c r="BC71" s="133"/>
      <c r="BD71" s="133"/>
      <c r="BE71" s="133"/>
      <c r="BF71" s="133"/>
      <c r="BG71" s="133"/>
      <c r="BH71" s="133"/>
    </row>
    <row r="72" ht="31" customHeight="1" spans="1:60">
      <c r="A72" s="35"/>
      <c r="B72" s="135"/>
      <c r="C72" s="136"/>
      <c r="D72" s="137"/>
      <c r="E72" s="137"/>
      <c r="F72" s="136"/>
      <c r="G72" s="137"/>
      <c r="H72" s="136"/>
      <c r="I72" s="136"/>
      <c r="J72" s="155"/>
      <c r="K72" s="156"/>
      <c r="L72" s="157" t="str">
        <f>IF(B72&lt;&gt;"",IF(I72="独立完成",1,IF(I72="合作完成",P72))*(IF(H72="否",0.5,IF(H72="是",1,0))),"")</f>
        <v/>
      </c>
      <c r="M72" s="157" t="str">
        <f>IF(B72&lt;&gt;"",SUM(Q72:X72)*L72,"")</f>
        <v/>
      </c>
      <c r="N72" s="158"/>
      <c r="O72" s="158"/>
      <c r="P72" s="158">
        <f>IF(K72=1,0.8,IF(K72=2,0.2,IF(K72&gt;2,0.1,0)))</f>
        <v>0</v>
      </c>
      <c r="Q72" s="166">
        <f>IF(B72="JA三大检索",20,0)</f>
        <v>0</v>
      </c>
      <c r="R72" s="166">
        <f>IF(B72="中文核心期刊",15,0)</f>
        <v>0</v>
      </c>
      <c r="S72" s="166">
        <f>IF(B72="CA三大检索",8,0)</f>
        <v>0</v>
      </c>
      <c r="T72" s="166">
        <f>IF(B72="一般期刊、外文期刊",5,0)</f>
        <v>0</v>
      </c>
      <c r="U72" s="166">
        <f>IF(B72="国际学术会议论文集",5,0)</f>
        <v>0</v>
      </c>
      <c r="V72" s="166">
        <f>IF(B72="国家级重要报刊",15,0)</f>
        <v>0</v>
      </c>
      <c r="W72" s="166">
        <f>IF(B72="省级重要报刊理论版",12,0)</f>
        <v>0</v>
      </c>
      <c r="X72" s="166">
        <f>IF(B72="市级重要报刊",5,0)</f>
        <v>0</v>
      </c>
      <c r="Y72" s="164" t="str">
        <f>IF(B72&lt;&gt;"",(IF(OR(B72="一般期刊、外文期刊",B72="国际学术会议论文集",B72="市级重要报刊"),5,IF(OR(B72="中文核心期刊",B72="国家级重要报刊"),15,IF(B72="CA三大检索",8,IF(B72="JA三大检索",20,IF(B72="省级重要报刊理论版",12,0))))))*L72,"")</f>
        <v/>
      </c>
      <c r="Z72" s="131">
        <f>IF(AND(OR(B72="JA三大检索",B72="中文核心期刊"),OR(I72="独立完成",K72=1)),1,0)</f>
        <v>0</v>
      </c>
      <c r="AA72" s="132"/>
      <c r="AB72" s="31">
        <f>IF(OR(I72="独立完成",K72=1),1,0)</f>
        <v>0</v>
      </c>
      <c r="AK72" s="133"/>
      <c r="AL72" s="133"/>
      <c r="AM72" s="133"/>
      <c r="AN72" s="133"/>
      <c r="AO72" s="133"/>
      <c r="AP72" s="133"/>
      <c r="AQ72" s="133"/>
      <c r="AR72" s="133"/>
      <c r="AS72" s="133"/>
      <c r="AT72" s="133"/>
      <c r="AU72" s="133"/>
      <c r="AV72" s="133"/>
      <c r="AW72" s="133"/>
      <c r="AX72" s="133"/>
      <c r="AY72" s="133"/>
      <c r="AZ72" s="133"/>
      <c r="BA72" s="133"/>
      <c r="BB72" s="133"/>
      <c r="BC72" s="133"/>
      <c r="BD72" s="133"/>
      <c r="BE72" s="133"/>
      <c r="BF72" s="133"/>
      <c r="BG72" s="133"/>
      <c r="BH72" s="133"/>
    </row>
    <row r="73" ht="31" customHeight="1" spans="1:60">
      <c r="A73" s="35"/>
      <c r="B73" s="135"/>
      <c r="C73" s="136"/>
      <c r="D73" s="137"/>
      <c r="E73" s="137"/>
      <c r="F73" s="136"/>
      <c r="G73" s="137"/>
      <c r="H73" s="136"/>
      <c r="I73" s="136"/>
      <c r="J73" s="155"/>
      <c r="K73" s="156"/>
      <c r="L73" s="157" t="str">
        <f>IF(B73&lt;&gt;"",IF(I73="独立完成",1,IF(I73="合作完成",P73))*(IF(H73="否",0.5,IF(H73="是",1,0))),"")</f>
        <v/>
      </c>
      <c r="M73" s="157" t="str">
        <f>IF(B73&lt;&gt;"",SUM(Q73:X73)*L73,"")</f>
        <v/>
      </c>
      <c r="N73" s="158"/>
      <c r="O73" s="158"/>
      <c r="P73" s="158">
        <f>IF(K73=1,0.8,IF(K73=2,0.2,IF(K73&gt;2,0.1,0)))</f>
        <v>0</v>
      </c>
      <c r="Q73" s="166">
        <f>IF(B73="JA三大检索",20,0)</f>
        <v>0</v>
      </c>
      <c r="R73" s="166">
        <f>IF(B73="中文核心期刊",15,0)</f>
        <v>0</v>
      </c>
      <c r="S73" s="166">
        <f>IF(B73="CA三大检索",8,0)</f>
        <v>0</v>
      </c>
      <c r="T73" s="166">
        <f>IF(B73="一般期刊、外文期刊",5,0)</f>
        <v>0</v>
      </c>
      <c r="U73" s="166">
        <f>IF(B73="国际学术会议论文集",5,0)</f>
        <v>0</v>
      </c>
      <c r="V73" s="166">
        <f>IF(B73="国家级重要报刊",15,0)</f>
        <v>0</v>
      </c>
      <c r="W73" s="166">
        <f>IF(B73="省级重要报刊理论版",12,0)</f>
        <v>0</v>
      </c>
      <c r="X73" s="166">
        <f>IF(B73="市级重要报刊",5,0)</f>
        <v>0</v>
      </c>
      <c r="Y73" s="164" t="str">
        <f>IF(B73&lt;&gt;"",(IF(OR(B73="一般期刊、外文期刊",B73="国际学术会议论文集",B73="市级重要报刊"),5,IF(OR(B73="中文核心期刊",B73="国家级重要报刊"),15,IF(B73="CA三大检索",8,IF(B73="JA三大检索",20,IF(B73="省级重要报刊理论版",12,0))))))*L73,"")</f>
        <v/>
      </c>
      <c r="Z73" s="131">
        <f>IF(AND(OR(B73="JA三大检索",B73="中文核心期刊"),OR(I73="独立完成",K73=1)),1,0)</f>
        <v>0</v>
      </c>
      <c r="AA73" s="132"/>
      <c r="AB73" s="31">
        <f>IF(OR(I73="独立完成",K73=1),1,0)</f>
        <v>0</v>
      </c>
      <c r="AK73" s="133"/>
      <c r="AL73" s="133"/>
      <c r="AM73" s="133"/>
      <c r="AN73" s="133"/>
      <c r="AO73" s="133"/>
      <c r="AP73" s="133"/>
      <c r="AQ73" s="133"/>
      <c r="AR73" s="133"/>
      <c r="AS73" s="133"/>
      <c r="AT73" s="133"/>
      <c r="AU73" s="133"/>
      <c r="AV73" s="133"/>
      <c r="AW73" s="133"/>
      <c r="AX73" s="133"/>
      <c r="AY73" s="133"/>
      <c r="AZ73" s="133"/>
      <c r="BA73" s="133"/>
      <c r="BB73" s="133"/>
      <c r="BC73" s="133"/>
      <c r="BD73" s="133"/>
      <c r="BE73" s="133"/>
      <c r="BF73" s="133"/>
      <c r="BG73" s="133"/>
      <c r="BH73" s="133"/>
    </row>
    <row r="74" ht="31" customHeight="1" spans="1:60">
      <c r="A74" s="35"/>
      <c r="B74" s="135"/>
      <c r="C74" s="136"/>
      <c r="D74" s="137"/>
      <c r="E74" s="137"/>
      <c r="F74" s="136"/>
      <c r="G74" s="137"/>
      <c r="H74" s="136"/>
      <c r="I74" s="136"/>
      <c r="J74" s="155"/>
      <c r="K74" s="156"/>
      <c r="L74" s="157" t="str">
        <f>IF(B74&lt;&gt;"",IF(I74="独立完成",1,IF(I74="合作完成",P74))*(IF(H74="否",0.5,IF(H74="是",1,0))),"")</f>
        <v/>
      </c>
      <c r="M74" s="157" t="str">
        <f>IF(B74&lt;&gt;"",SUM(Q74:X74)*L74,"")</f>
        <v/>
      </c>
      <c r="N74" s="158"/>
      <c r="O74" s="158"/>
      <c r="P74" s="158">
        <f>IF(K74=1,0.8,IF(K74=2,0.2,IF(K74&gt;2,0.1,0)))</f>
        <v>0</v>
      </c>
      <c r="Q74" s="166">
        <f>IF(B74="JA三大检索",20,0)</f>
        <v>0</v>
      </c>
      <c r="R74" s="166">
        <f>IF(B74="中文核心期刊",15,0)</f>
        <v>0</v>
      </c>
      <c r="S74" s="166">
        <f>IF(B74="CA三大检索",8,0)</f>
        <v>0</v>
      </c>
      <c r="T74" s="166">
        <f>IF(B74="一般期刊、外文期刊",5,0)</f>
        <v>0</v>
      </c>
      <c r="U74" s="166">
        <f>IF(B74="国际学术会议论文集",5,0)</f>
        <v>0</v>
      </c>
      <c r="V74" s="166">
        <f>IF(B74="国家级重要报刊",15,0)</f>
        <v>0</v>
      </c>
      <c r="W74" s="166">
        <f>IF(B74="省级重要报刊理论版",12,0)</f>
        <v>0</v>
      </c>
      <c r="X74" s="166">
        <f>IF(B74="市级重要报刊",5,0)</f>
        <v>0</v>
      </c>
      <c r="Y74" s="164" t="str">
        <f>IF(B74&lt;&gt;"",(IF(OR(B74="一般期刊、外文期刊",B74="国际学术会议论文集",B74="市级重要报刊"),5,IF(OR(B74="中文核心期刊",B74="国家级重要报刊"),15,IF(B74="CA三大检索",8,IF(B74="JA三大检索",20,IF(B74="省级重要报刊理论版",12,0))))))*L74,"")</f>
        <v/>
      </c>
      <c r="Z74" s="131">
        <f>IF(AND(OR(B74="JA三大检索",B74="中文核心期刊"),OR(I74="独立完成",K74=1)),1,0)</f>
        <v>0</v>
      </c>
      <c r="AA74" s="132"/>
      <c r="AB74" s="31">
        <f>IF(OR(I74="独立完成",K74=1),1,0)</f>
        <v>0</v>
      </c>
      <c r="AK74" s="133"/>
      <c r="AL74" s="133"/>
      <c r="AM74" s="133"/>
      <c r="AN74" s="133"/>
      <c r="AO74" s="133"/>
      <c r="AP74" s="133"/>
      <c r="AQ74" s="133"/>
      <c r="AR74" s="133"/>
      <c r="AS74" s="133"/>
      <c r="AT74" s="133"/>
      <c r="AU74" s="133"/>
      <c r="AV74" s="133"/>
      <c r="AW74" s="133"/>
      <c r="AX74" s="133"/>
      <c r="AY74" s="133"/>
      <c r="AZ74" s="133"/>
      <c r="BA74" s="133"/>
      <c r="BB74" s="133"/>
      <c r="BC74" s="133"/>
      <c r="BD74" s="133"/>
      <c r="BE74" s="133"/>
      <c r="BF74" s="133"/>
      <c r="BG74" s="133"/>
      <c r="BH74" s="133"/>
    </row>
    <row r="75" ht="31" customHeight="1" spans="1:60">
      <c r="A75" s="35"/>
      <c r="B75" s="135"/>
      <c r="C75" s="136"/>
      <c r="D75" s="137"/>
      <c r="E75" s="137"/>
      <c r="F75" s="136"/>
      <c r="G75" s="137"/>
      <c r="H75" s="136"/>
      <c r="I75" s="136"/>
      <c r="J75" s="155"/>
      <c r="K75" s="156"/>
      <c r="L75" s="157" t="str">
        <f>IF(B75&lt;&gt;"",IF(I75="独立完成",1,IF(I75="合作完成",P75))*(IF(H75="否",0.5,IF(H75="是",1,0))),"")</f>
        <v/>
      </c>
      <c r="M75" s="157" t="str">
        <f>IF(B75&lt;&gt;"",SUM(Q75:X75)*L75,"")</f>
        <v/>
      </c>
      <c r="N75" s="158"/>
      <c r="O75" s="158"/>
      <c r="P75" s="158">
        <f>IF(K75=1,0.8,IF(K75=2,0.2,IF(K75&gt;2,0.1,0)))</f>
        <v>0</v>
      </c>
      <c r="Q75" s="166">
        <f>IF(B75="JA三大检索",20,0)</f>
        <v>0</v>
      </c>
      <c r="R75" s="166">
        <f>IF(B75="中文核心期刊",15,0)</f>
        <v>0</v>
      </c>
      <c r="S75" s="166">
        <f>IF(B75="CA三大检索",8,0)</f>
        <v>0</v>
      </c>
      <c r="T75" s="166">
        <f>IF(B75="一般期刊、外文期刊",5,0)</f>
        <v>0</v>
      </c>
      <c r="U75" s="166">
        <f>IF(B75="国际学术会议论文集",5,0)</f>
        <v>0</v>
      </c>
      <c r="V75" s="166">
        <f>IF(B75="国家级重要报刊",15,0)</f>
        <v>0</v>
      </c>
      <c r="W75" s="166">
        <f>IF(B75="省级重要报刊理论版",12,0)</f>
        <v>0</v>
      </c>
      <c r="X75" s="166">
        <f>IF(B75="市级重要报刊",5,0)</f>
        <v>0</v>
      </c>
      <c r="Y75" s="164" t="str">
        <f>IF(B75&lt;&gt;"",(IF(OR(B75="一般期刊、外文期刊",B75="国际学术会议论文集",B75="市级重要报刊"),5,IF(OR(B75="中文核心期刊",B75="国家级重要报刊"),15,IF(B75="CA三大检索",8,IF(B75="JA三大检索",20,IF(B75="省级重要报刊理论版",12,0))))))*L75,"")</f>
        <v/>
      </c>
      <c r="Z75" s="131">
        <f>IF(AND(OR(B75="JA三大检索",B75="中文核心期刊"),OR(I75="独立完成",K75=1)),1,0)</f>
        <v>0</v>
      </c>
      <c r="AA75" s="132"/>
      <c r="AB75" s="31">
        <f>IF(OR(I75="独立完成",K75=1),1,0)</f>
        <v>0</v>
      </c>
      <c r="AK75" s="133"/>
      <c r="AL75" s="133"/>
      <c r="AM75" s="133"/>
      <c r="AN75" s="133"/>
      <c r="AO75" s="133"/>
      <c r="AP75" s="133"/>
      <c r="AQ75" s="133"/>
      <c r="AR75" s="133"/>
      <c r="AS75" s="133"/>
      <c r="AT75" s="133"/>
      <c r="AU75" s="133"/>
      <c r="AV75" s="133"/>
      <c r="AW75" s="133"/>
      <c r="AX75" s="133"/>
      <c r="AY75" s="133"/>
      <c r="AZ75" s="133"/>
      <c r="BA75" s="133"/>
      <c r="BB75" s="133"/>
      <c r="BC75" s="133"/>
      <c r="BD75" s="133"/>
      <c r="BE75" s="133"/>
      <c r="BF75" s="133"/>
      <c r="BG75" s="133"/>
      <c r="BH75" s="133"/>
    </row>
    <row r="76" ht="31" customHeight="1" spans="1:60">
      <c r="A76" s="35"/>
      <c r="B76" s="138" t="s">
        <v>57</v>
      </c>
      <c r="C76" s="139"/>
      <c r="D76" s="139"/>
      <c r="E76" s="139"/>
      <c r="F76" s="139"/>
      <c r="G76" s="139"/>
      <c r="H76" s="139"/>
      <c r="I76" s="139"/>
      <c r="J76" s="139"/>
      <c r="K76" s="139"/>
      <c r="L76" s="159"/>
      <c r="M76" s="157">
        <f>IF(M72&lt;&gt;"",SUM(M72:M75),0)</f>
        <v>0</v>
      </c>
      <c r="N76" s="160"/>
      <c r="O76" s="160"/>
      <c r="AK76" s="133"/>
      <c r="AL76" s="133"/>
      <c r="AM76" s="133"/>
      <c r="AN76" s="133"/>
      <c r="AO76" s="133"/>
      <c r="AP76" s="133"/>
      <c r="AQ76" s="133"/>
      <c r="AR76" s="133"/>
      <c r="AS76" s="133"/>
      <c r="AT76" s="133"/>
      <c r="AU76" s="133"/>
      <c r="AV76" s="133"/>
      <c r="AW76" s="133"/>
      <c r="AX76" s="133"/>
      <c r="AY76" s="133"/>
      <c r="AZ76" s="133"/>
      <c r="BA76" s="133"/>
      <c r="BB76" s="133"/>
      <c r="BC76" s="133"/>
      <c r="BD76" s="133"/>
      <c r="BE76" s="133"/>
      <c r="BF76" s="133"/>
      <c r="BG76" s="133"/>
      <c r="BH76" s="133"/>
    </row>
    <row r="77" ht="31" customHeight="1" spans="1:60">
      <c r="A77" s="35"/>
      <c r="B77" s="134" t="s">
        <v>100</v>
      </c>
      <c r="C77" s="134"/>
      <c r="D77" s="134"/>
      <c r="E77" s="134"/>
      <c r="F77" s="134"/>
      <c r="G77" s="134"/>
      <c r="H77" s="134"/>
      <c r="I77" s="134"/>
      <c r="J77" s="134"/>
      <c r="K77" s="134"/>
      <c r="L77" s="134"/>
      <c r="M77" s="134"/>
      <c r="N77" s="134"/>
      <c r="O77" s="134"/>
      <c r="AK77" s="133"/>
      <c r="AL77" s="133"/>
      <c r="AM77" s="133"/>
      <c r="AN77" s="133"/>
      <c r="AO77" s="133"/>
      <c r="AP77" s="133"/>
      <c r="AQ77" s="133"/>
      <c r="AR77" s="133"/>
      <c r="AS77" s="133"/>
      <c r="AT77" s="133"/>
      <c r="AU77" s="133"/>
      <c r="AV77" s="133"/>
      <c r="AW77" s="133"/>
      <c r="AX77" s="133"/>
      <c r="AY77" s="133"/>
      <c r="AZ77" s="133"/>
      <c r="BA77" s="133"/>
      <c r="BB77" s="133"/>
      <c r="BC77" s="133"/>
      <c r="BD77" s="133"/>
      <c r="BE77" s="133"/>
      <c r="BF77" s="133"/>
      <c r="BG77" s="133"/>
      <c r="BH77" s="133"/>
    </row>
    <row r="78" ht="31" customHeight="1" spans="1:60">
      <c r="A78" s="35"/>
      <c r="B78" s="92" t="s">
        <v>101</v>
      </c>
      <c r="C78" s="77" t="s">
        <v>102</v>
      </c>
      <c r="D78" s="78"/>
      <c r="E78" s="79"/>
      <c r="F78" s="77" t="s">
        <v>103</v>
      </c>
      <c r="G78" s="127"/>
      <c r="H78" s="140" t="s">
        <v>104</v>
      </c>
      <c r="I78" s="60" t="s">
        <v>105</v>
      </c>
      <c r="J78" s="161" t="s">
        <v>106</v>
      </c>
      <c r="K78" s="60" t="s">
        <v>107</v>
      </c>
      <c r="L78" s="60" t="s">
        <v>86</v>
      </c>
      <c r="M78" s="60" t="s">
        <v>87</v>
      </c>
      <c r="N78" s="60" t="s">
        <v>39</v>
      </c>
      <c r="O78" s="60" t="s">
        <v>40</v>
      </c>
      <c r="P78" s="31" t="s">
        <v>108</v>
      </c>
      <c r="Q78" s="164" t="s">
        <v>109</v>
      </c>
      <c r="R78" s="31" t="s">
        <v>110</v>
      </c>
      <c r="S78" s="130" t="s">
        <v>111</v>
      </c>
      <c r="T78" s="120" t="s">
        <v>112</v>
      </c>
      <c r="U78" s="130" t="s">
        <v>113</v>
      </c>
      <c r="V78" s="130" t="s">
        <v>114</v>
      </c>
      <c r="W78" s="130" t="s">
        <v>115</v>
      </c>
      <c r="X78" s="130" t="s">
        <v>116</v>
      </c>
      <c r="Y78" s="130" t="s">
        <v>117</v>
      </c>
      <c r="Z78" s="130" t="s">
        <v>118</v>
      </c>
      <c r="AA78" s="130" t="s">
        <v>119</v>
      </c>
      <c r="AB78" s="131" t="s">
        <v>120</v>
      </c>
      <c r="AC78" s="132"/>
      <c r="AD78" s="30" t="s">
        <v>121</v>
      </c>
      <c r="AK78" s="133"/>
      <c r="AL78" s="133"/>
      <c r="AM78" s="133"/>
      <c r="AN78" s="133"/>
      <c r="AO78" s="133"/>
      <c r="AP78" s="133"/>
      <c r="AQ78" s="133"/>
      <c r="AR78" s="133"/>
      <c r="AS78" s="133"/>
      <c r="AT78" s="133"/>
      <c r="AU78" s="133"/>
      <c r="AV78" s="133"/>
      <c r="AW78" s="133"/>
      <c r="AX78" s="133"/>
      <c r="AY78" s="133"/>
      <c r="AZ78" s="133"/>
      <c r="BA78" s="133"/>
      <c r="BB78" s="133"/>
      <c r="BC78" s="133"/>
      <c r="BD78" s="133"/>
      <c r="BE78" s="133"/>
      <c r="BF78" s="133"/>
      <c r="BG78" s="133"/>
      <c r="BH78" s="133"/>
    </row>
    <row r="79" ht="31" customHeight="1" spans="1:60">
      <c r="A79" s="35"/>
      <c r="B79" s="135"/>
      <c r="C79" s="141"/>
      <c r="D79" s="142"/>
      <c r="E79" s="143"/>
      <c r="F79" s="141"/>
      <c r="G79" s="143"/>
      <c r="H79" s="136"/>
      <c r="I79" s="162"/>
      <c r="J79" s="163"/>
      <c r="K79" s="136"/>
      <c r="L79" s="157" t="str">
        <f>IF(B79&lt;&gt;"",P79*R79,"")</f>
        <v/>
      </c>
      <c r="M79" s="157" t="str">
        <f>IF(B79&lt;&gt;"",SUM(S79:AA79)*J79*L79,"")</f>
        <v/>
      </c>
      <c r="N79" s="158"/>
      <c r="O79" s="31"/>
      <c r="P79" s="31">
        <f>IF(OR(K79="独著",K79="第一主编"),1,IF(K79="第二主编",0.8,IF(K79="参编",0.6,0)))</f>
        <v>0</v>
      </c>
      <c r="Q79" s="164">
        <f>IF(B79&lt;&gt;"",(IF(OR(B79="普通教材",B79="市级（地方）标准"),0.3,IF(OR(B79="省级规划教材",B79="省部级（行业）标准"),0.6,IF(OR(B79="国家级规划教材",B79="国家级标准"),0.8,IF(B79="编著、译著",1,IF(B79="学术专著",1.5,IF(B79="校本教材、实训指导书",0.1))))))),0)</f>
        <v>0</v>
      </c>
      <c r="R79" s="31">
        <f>IF(B79&lt;&gt;"",(IF(H79="否",1,IF(AND(B79="国家级规划教材",H79="是"),0.6,IF(AND(B79="省级规划教材",H79="是"),0.4,0)))),0)</f>
        <v>0</v>
      </c>
      <c r="S79" s="31">
        <f>IF(B79="普通教材",0.3,0)</f>
        <v>0</v>
      </c>
      <c r="T79" s="31">
        <f>IF(B79="省级规划教材",0.6,0)</f>
        <v>0</v>
      </c>
      <c r="U79" s="31">
        <f>IF(B79="国家级规划教材",0.8,0)</f>
        <v>0</v>
      </c>
      <c r="V79" s="31">
        <f>IF(B79="编著、译著",1,0)</f>
        <v>0</v>
      </c>
      <c r="W79" s="31">
        <f>IF(B79="学术专著",1.5,0)</f>
        <v>0</v>
      </c>
      <c r="X79" s="31">
        <f>IF(B79="校本教材、实训指导书",0.1,0)</f>
        <v>0</v>
      </c>
      <c r="Y79" s="31">
        <f>IF(B79="国家级标准",0.8,0)</f>
        <v>0</v>
      </c>
      <c r="Z79" s="31">
        <f>IF(B79="省部级（行业）标准",0.6,0)</f>
        <v>0</v>
      </c>
      <c r="AA79" s="31">
        <f>IF(B79="市级（地方）标准",0.3,0)</f>
        <v>0</v>
      </c>
      <c r="AB79" s="131">
        <f>IF(AND(OR(K79="独著",K79="第一主编",K79="第二主编"),AND(J79&lt;&gt;"",J79&gt;=5)),1,0)</f>
        <v>0</v>
      </c>
      <c r="AC79" s="132"/>
      <c r="AD79" s="31">
        <f>IF(AND(K79="参编",AND(J79&lt;&gt;"",J79&gt;=7)),1,0)</f>
        <v>0</v>
      </c>
      <c r="AK79" s="133"/>
      <c r="AL79" s="133"/>
      <c r="AM79" s="133"/>
      <c r="AN79" s="133"/>
      <c r="AO79" s="133"/>
      <c r="AP79" s="133"/>
      <c r="AQ79" s="133"/>
      <c r="AR79" s="133"/>
      <c r="AS79" s="133"/>
      <c r="AT79" s="133"/>
      <c r="AU79" s="133"/>
      <c r="AV79" s="133"/>
      <c r="AW79" s="133"/>
      <c r="AX79" s="133"/>
      <c r="AY79" s="133"/>
      <c r="AZ79" s="133"/>
      <c r="BA79" s="133"/>
      <c r="BB79" s="133"/>
      <c r="BC79" s="133"/>
      <c r="BD79" s="133"/>
      <c r="BE79" s="133"/>
      <c r="BF79" s="133"/>
      <c r="BG79" s="133"/>
      <c r="BH79" s="133"/>
    </row>
    <row r="80" ht="31" customHeight="1" spans="1:60">
      <c r="A80" s="35"/>
      <c r="B80" s="135"/>
      <c r="C80" s="141"/>
      <c r="D80" s="142"/>
      <c r="E80" s="143"/>
      <c r="F80" s="141"/>
      <c r="G80" s="144"/>
      <c r="H80" s="136"/>
      <c r="I80" s="162"/>
      <c r="J80" s="163"/>
      <c r="K80" s="136"/>
      <c r="L80" s="157" t="str">
        <f>IF(B80&lt;&gt;"",P80*R80,"")</f>
        <v/>
      </c>
      <c r="M80" s="157" t="str">
        <f>IF(B80&lt;&gt;"",SUM(S80:AA80)*J80*L80,"")</f>
        <v/>
      </c>
      <c r="N80" s="158"/>
      <c r="O80" s="31"/>
      <c r="P80" s="31">
        <f>IF(OR(K80="独著",K80="第一主编"),1,IF(K80="第二主编",0.8,IF(K80="参编",0.6,0)))</f>
        <v>0</v>
      </c>
      <c r="Q80" s="164">
        <f>IF(B80&lt;&gt;"",(IF(OR(B80="普通教材",B80="市级（地方）标准"),0.3,IF(OR(B80="省级规划教材",B80="省部级（行业）标准"),0.6,IF(OR(B80="国家级规划教材",B80="国家级标准"),0.8,IF(B80="编著、译著",1,IF(B80="学术专著",1.5,IF(B80="校本教材、实训指导书",0.1))))))),0)</f>
        <v>0</v>
      </c>
      <c r="R80" s="31">
        <f>IF(B80&lt;&gt;"",(IF(H80="否",1,IF(AND(B80="国家级规划教材",H80="是"),0.6,IF(AND(B80="省级规划教材",H80="是"),0.4,0)))),0)</f>
        <v>0</v>
      </c>
      <c r="S80" s="31">
        <f>IF(B80="普通教材",0.3,0)</f>
        <v>0</v>
      </c>
      <c r="T80" s="31">
        <f>IF(B80="省级规划教材",0.6,0)</f>
        <v>0</v>
      </c>
      <c r="U80" s="31">
        <f>IF(B80="国家级规划教材",0.8,0)</f>
        <v>0</v>
      </c>
      <c r="V80" s="31">
        <f>IF(B80="编著、译著",1,0)</f>
        <v>0</v>
      </c>
      <c r="W80" s="31">
        <f>IF(B80="学术专著",1.5,0)</f>
        <v>0</v>
      </c>
      <c r="X80" s="31">
        <f>IF(B80="校本教材、实训指导书",0.1,0)</f>
        <v>0</v>
      </c>
      <c r="Y80" s="31">
        <f>IF(B80="国家级标准",0.8,0)</f>
        <v>0</v>
      </c>
      <c r="Z80" s="31">
        <f>IF(B80="省部级（行业）标准",0.6,0)</f>
        <v>0</v>
      </c>
      <c r="AA80" s="31">
        <f>IF(B80="市级（地方）标准",0.3,0)</f>
        <v>0</v>
      </c>
      <c r="AB80" s="131">
        <f>IF(AND(OR(K80="独著",K80="第一主编",K80="第二主编"),AND(J80&lt;&gt;"",J80&gt;=5)),1,0)</f>
        <v>0</v>
      </c>
      <c r="AC80" s="132"/>
      <c r="AD80" s="31">
        <f>IF(AND(K80="参编",AND(J80&lt;&gt;"",J80&gt;=7)),1,0)</f>
        <v>0</v>
      </c>
      <c r="AK80" s="133"/>
      <c r="AL80" s="133"/>
      <c r="AM80" s="133"/>
      <c r="AN80" s="133"/>
      <c r="AO80" s="133"/>
      <c r="AP80" s="133"/>
      <c r="AQ80" s="133"/>
      <c r="AR80" s="133"/>
      <c r="AS80" s="133"/>
      <c r="AT80" s="133"/>
      <c r="AU80" s="133"/>
      <c r="AV80" s="133"/>
      <c r="AW80" s="133"/>
      <c r="AX80" s="133"/>
      <c r="AY80" s="133"/>
      <c r="AZ80" s="133"/>
      <c r="BA80" s="133"/>
      <c r="BB80" s="133"/>
      <c r="BC80" s="133"/>
      <c r="BD80" s="133"/>
      <c r="BE80" s="133"/>
      <c r="BF80" s="133"/>
      <c r="BG80" s="133"/>
      <c r="BH80" s="133"/>
    </row>
    <row r="81" ht="31" customHeight="1" spans="1:60">
      <c r="A81" s="35"/>
      <c r="B81" s="138" t="s">
        <v>57</v>
      </c>
      <c r="C81" s="139"/>
      <c r="D81" s="139"/>
      <c r="E81" s="139"/>
      <c r="F81" s="139"/>
      <c r="G81" s="139"/>
      <c r="H81" s="139"/>
      <c r="I81" s="139"/>
      <c r="J81" s="139"/>
      <c r="K81" s="139"/>
      <c r="L81" s="159"/>
      <c r="M81" s="157">
        <f>IF(M79&lt;&gt;"",SUM(M79:M80),0)</f>
        <v>0</v>
      </c>
      <c r="N81" s="160"/>
      <c r="O81" s="160"/>
      <c r="AK81" s="133"/>
      <c r="AL81" s="133"/>
      <c r="AM81" s="133"/>
      <c r="AN81" s="133"/>
      <c r="AO81" s="133"/>
      <c r="AP81" s="133"/>
      <c r="AQ81" s="133"/>
      <c r="AR81" s="133"/>
      <c r="AS81" s="133"/>
      <c r="AT81" s="133"/>
      <c r="AU81" s="133"/>
      <c r="AV81" s="133"/>
      <c r="AW81" s="133"/>
      <c r="AX81" s="133"/>
      <c r="AY81" s="133"/>
      <c r="AZ81" s="133"/>
      <c r="BA81" s="133"/>
      <c r="BB81" s="133"/>
      <c r="BC81" s="133"/>
      <c r="BD81" s="133"/>
      <c r="BE81" s="133"/>
      <c r="BF81" s="133"/>
      <c r="BG81" s="133"/>
      <c r="BH81" s="133"/>
    </row>
    <row r="82" ht="31" customHeight="1" spans="1:60">
      <c r="A82" s="35"/>
      <c r="B82" s="134" t="s">
        <v>122</v>
      </c>
      <c r="C82" s="134"/>
      <c r="D82" s="134"/>
      <c r="E82" s="134"/>
      <c r="F82" s="134"/>
      <c r="G82" s="134"/>
      <c r="H82" s="134"/>
      <c r="I82" s="134"/>
      <c r="J82" s="134"/>
      <c r="K82" s="134"/>
      <c r="L82" s="134"/>
      <c r="M82" s="134"/>
      <c r="N82" s="134"/>
      <c r="O82" s="134"/>
      <c r="AK82" s="133"/>
      <c r="AL82" s="133"/>
      <c r="AM82" s="133"/>
      <c r="AN82" s="133"/>
      <c r="AO82" s="133"/>
      <c r="AP82" s="133"/>
      <c r="AQ82" s="133"/>
      <c r="AR82" s="133"/>
      <c r="AS82" s="133"/>
      <c r="AT82" s="133"/>
      <c r="AU82" s="133"/>
      <c r="AV82" s="133"/>
      <c r="AW82" s="133"/>
      <c r="AX82" s="133"/>
      <c r="AY82" s="133"/>
      <c r="AZ82" s="133"/>
      <c r="BA82" s="133"/>
      <c r="BB82" s="133"/>
      <c r="BC82" s="133"/>
      <c r="BD82" s="133"/>
      <c r="BE82" s="133"/>
      <c r="BF82" s="133"/>
      <c r="BG82" s="133"/>
      <c r="BH82" s="133"/>
    </row>
    <row r="83" ht="31" customHeight="1" spans="1:60">
      <c r="A83" s="35"/>
      <c r="B83" s="92" t="s">
        <v>123</v>
      </c>
      <c r="C83" s="92" t="s">
        <v>124</v>
      </c>
      <c r="D83" s="92"/>
      <c r="E83" s="92"/>
      <c r="F83" s="92"/>
      <c r="G83" s="92" t="s">
        <v>125</v>
      </c>
      <c r="H83" s="60" t="s">
        <v>83</v>
      </c>
      <c r="I83" s="60" t="s">
        <v>84</v>
      </c>
      <c r="J83" s="60" t="s">
        <v>85</v>
      </c>
      <c r="K83" s="60" t="s">
        <v>126</v>
      </c>
      <c r="L83" s="60" t="s">
        <v>86</v>
      </c>
      <c r="M83" s="60" t="s">
        <v>87</v>
      </c>
      <c r="N83" s="60" t="s">
        <v>39</v>
      </c>
      <c r="O83" s="60" t="s">
        <v>40</v>
      </c>
      <c r="P83" s="164" t="s">
        <v>127</v>
      </c>
      <c r="Q83" s="31" t="s">
        <v>128</v>
      </c>
      <c r="R83" s="31" t="s">
        <v>88</v>
      </c>
      <c r="S83" s="130" t="s">
        <v>129</v>
      </c>
      <c r="T83" s="130" t="s">
        <v>130</v>
      </c>
      <c r="U83" s="130" t="s">
        <v>131</v>
      </c>
      <c r="V83" s="130" t="s">
        <v>132</v>
      </c>
      <c r="W83" s="130" t="s">
        <v>133</v>
      </c>
      <c r="X83" s="130" t="s">
        <v>134</v>
      </c>
      <c r="Y83" s="175" t="s">
        <v>135</v>
      </c>
      <c r="Z83" s="176"/>
      <c r="AA83" s="175" t="s">
        <v>136</v>
      </c>
      <c r="AB83" s="176"/>
      <c r="AK83" s="133"/>
      <c r="AL83" s="133"/>
      <c r="AM83" s="133"/>
      <c r="AN83" s="133"/>
      <c r="AO83" s="133"/>
      <c r="AP83" s="133"/>
      <c r="AQ83" s="133"/>
      <c r="AR83" s="133"/>
      <c r="AS83" s="133"/>
      <c r="AT83" s="133"/>
      <c r="AU83" s="133"/>
      <c r="AV83" s="133"/>
      <c r="AW83" s="133"/>
      <c r="AX83" s="133"/>
      <c r="AY83" s="133"/>
      <c r="AZ83" s="133"/>
      <c r="BA83" s="133"/>
      <c r="BB83" s="133"/>
      <c r="BC83" s="133"/>
      <c r="BD83" s="133"/>
      <c r="BE83" s="133"/>
      <c r="BF83" s="133"/>
      <c r="BG83" s="133"/>
      <c r="BH83" s="133"/>
    </row>
    <row r="84" ht="31" customHeight="1" spans="1:60">
      <c r="A84" s="35"/>
      <c r="B84" s="135"/>
      <c r="C84" s="136"/>
      <c r="D84" s="136"/>
      <c r="E84" s="136"/>
      <c r="F84" s="136"/>
      <c r="G84" s="145"/>
      <c r="H84" s="145"/>
      <c r="I84" s="145"/>
      <c r="J84" s="145"/>
      <c r="K84" s="165"/>
      <c r="L84" s="157" t="str">
        <f>IF(B84&lt;&gt;"",R84,"")</f>
        <v/>
      </c>
      <c r="M84" s="157" t="str">
        <f>IF(B84&lt;&gt;"",SUM(S84:X84)*L84,"")</f>
        <v/>
      </c>
      <c r="N84" s="158"/>
      <c r="O84" s="166"/>
      <c r="P84" s="167">
        <f>IF(B84="国家级课题项目",40,IF(B84="省级课题项目",20,IF(B84="横向课题项目",2,IF(B84="市级课题项目",7,IF(B84="校级课题项目",5,0)))))</f>
        <v>0</v>
      </c>
      <c r="Q84" s="166">
        <f>IF(AND(B84="横向课题项目",K84&gt;=1),INT((K84-1)*10)*0.1,0)</f>
        <v>0</v>
      </c>
      <c r="R84" s="31">
        <f>IF(H84="独立完成",1,IF(J84=1,0.8,IF(J84=2,0.2,IF(J84=3,0.1,IF(J84&gt;3,0.05,0)))))</f>
        <v>0</v>
      </c>
      <c r="S84" s="166">
        <f>IF(Q84&gt;18,18,Q84)</f>
        <v>0</v>
      </c>
      <c r="T84" s="31">
        <f>IF(B84="国家级课题项目",40,0)</f>
        <v>0</v>
      </c>
      <c r="U84" s="31">
        <f>IF(B84="省级课题项目",20,0)</f>
        <v>0</v>
      </c>
      <c r="V84" s="31">
        <f>IF(B84="市级课题项目",10,0)</f>
        <v>0</v>
      </c>
      <c r="W84" s="31">
        <f>IF(B84="校级课题项目",5,0)</f>
        <v>0</v>
      </c>
      <c r="X84" s="31">
        <f>IF(B84="横向课题项目",2,0)</f>
        <v>0</v>
      </c>
      <c r="Y84" s="131">
        <f>IF(AND(OR(B84="国家级课题项目",B84="省级课题项目",B84="市级课题项目"),OR(H84="独立完成",J84=1)),1,0)</f>
        <v>0</v>
      </c>
      <c r="Z84" s="132"/>
      <c r="AA84" s="131">
        <f>IF(AND(OR(B84="国家级课题项目",B84="省级课题项目"),AND(J84&lt;&gt;"",J28&lt;&gt;1,J84&lt;4)),1,0)</f>
        <v>0</v>
      </c>
      <c r="AB84" s="132"/>
      <c r="AK84" s="133"/>
      <c r="AL84" s="133"/>
      <c r="AM84" s="133"/>
      <c r="AN84" s="133"/>
      <c r="AO84" s="133"/>
      <c r="AP84" s="133"/>
      <c r="AQ84" s="133"/>
      <c r="AR84" s="133"/>
      <c r="AS84" s="133"/>
      <c r="AT84" s="133"/>
      <c r="AU84" s="133"/>
      <c r="AV84" s="133"/>
      <c r="AW84" s="133"/>
      <c r="AX84" s="133"/>
      <c r="AY84" s="133"/>
      <c r="AZ84" s="133"/>
      <c r="BA84" s="133"/>
      <c r="BB84" s="133"/>
      <c r="BC84" s="133"/>
      <c r="BD84" s="133"/>
      <c r="BE84" s="133"/>
      <c r="BF84" s="133"/>
      <c r="BG84" s="133"/>
      <c r="BH84" s="133"/>
    </row>
    <row r="85" ht="31" customHeight="1" spans="1:60">
      <c r="A85" s="35"/>
      <c r="B85" s="135"/>
      <c r="C85" s="136"/>
      <c r="D85" s="136"/>
      <c r="E85" s="136"/>
      <c r="F85" s="136"/>
      <c r="G85" s="145"/>
      <c r="H85" s="145"/>
      <c r="I85" s="145"/>
      <c r="J85" s="145"/>
      <c r="K85" s="165"/>
      <c r="L85" s="157" t="str">
        <f>IF(B85&lt;&gt;"",R85,"")</f>
        <v/>
      </c>
      <c r="M85" s="157" t="str">
        <f>IF(B85&lt;&gt;"",SUM(S85:X85)*L85,"")</f>
        <v/>
      </c>
      <c r="N85" s="158"/>
      <c r="O85" s="166"/>
      <c r="P85" s="167">
        <f>IF(B85="国家级课题项目",40,IF(B85="省级课题项目",20,IF(B85="横向课题项目",2,IF(B85="市级课题项目",7,IF(B85="校级课题项目",5,0)))))</f>
        <v>0</v>
      </c>
      <c r="Q85" s="166">
        <f>IF(AND(B85="横向课题项目",K85&gt;=1),INT((K85-1)*10)*0.1,0)</f>
        <v>0</v>
      </c>
      <c r="R85" s="31">
        <f>IF(H85="独立完成",1,IF(J85=1,0.8,IF(J85=2,0.2,IF(J85=3,0.1,IF(J85&gt;3,0.05,0)))))</f>
        <v>0</v>
      </c>
      <c r="S85" s="166">
        <f>IF(Q85&gt;18,18,Q85)</f>
        <v>0</v>
      </c>
      <c r="T85" s="31">
        <f>IF(B85="国家级课题项目",40,0)</f>
        <v>0</v>
      </c>
      <c r="U85" s="31">
        <f>IF(B85="省级课题项目",20,0)</f>
        <v>0</v>
      </c>
      <c r="V85" s="31">
        <f>IF(B85="市级课题项目",10,0)</f>
        <v>0</v>
      </c>
      <c r="W85" s="31">
        <f>IF(B85="校级课题项目",5,0)</f>
        <v>0</v>
      </c>
      <c r="X85" s="31">
        <f>IF(B85="横向课题项目",2,0)</f>
        <v>0</v>
      </c>
      <c r="Y85" s="131">
        <f>IF(AND(OR(B85="国家级课题项目",B85="省级课题项目",B85="市级课题项目"),OR(H85="独立完成",J85=1)),1,0)</f>
        <v>0</v>
      </c>
      <c r="Z85" s="132"/>
      <c r="AA85" s="131">
        <f>IF(AND(OR(B85="国家级课题项目",B85="省级课题项目"),AND(J85&lt;&gt;"",J29&lt;&gt;1,J85&lt;4)),1,0)</f>
        <v>0</v>
      </c>
      <c r="AB85" s="132"/>
      <c r="AK85" s="133"/>
      <c r="AL85" s="133"/>
      <c r="AM85" s="133"/>
      <c r="AN85" s="133"/>
      <c r="AO85" s="133"/>
      <c r="AP85" s="133"/>
      <c r="AQ85" s="133"/>
      <c r="AR85" s="133"/>
      <c r="AS85" s="133"/>
      <c r="AT85" s="133"/>
      <c r="AU85" s="133"/>
      <c r="AV85" s="133"/>
      <c r="AW85" s="133"/>
      <c r="AX85" s="133"/>
      <c r="AY85" s="133"/>
      <c r="AZ85" s="133"/>
      <c r="BA85" s="133"/>
      <c r="BB85" s="133"/>
      <c r="BC85" s="133"/>
      <c r="BD85" s="133"/>
      <c r="BE85" s="133"/>
      <c r="BF85" s="133"/>
      <c r="BG85" s="133"/>
      <c r="BH85" s="133"/>
    </row>
    <row r="86" ht="31" customHeight="1" spans="1:60">
      <c r="A86" s="35"/>
      <c r="B86" s="135"/>
      <c r="C86" s="136"/>
      <c r="D86" s="136"/>
      <c r="E86" s="136"/>
      <c r="F86" s="136"/>
      <c r="G86" s="145"/>
      <c r="H86" s="145"/>
      <c r="I86" s="145"/>
      <c r="J86" s="145"/>
      <c r="K86" s="165"/>
      <c r="L86" s="157" t="str">
        <f>IF(B86&lt;&gt;"",R86,"")</f>
        <v/>
      </c>
      <c r="M86" s="157" t="str">
        <f>IF(B86&lt;&gt;"",SUM(S86:X86)*L86,"")</f>
        <v/>
      </c>
      <c r="N86" s="158"/>
      <c r="O86" s="166"/>
      <c r="P86" s="167">
        <f>IF(B86="国家级课题项目",40,IF(B86="省级课题项目",20,IF(B86="横向课题项目",2,IF(B86="市级课题项目",7,IF(B86="校级课题项目",5,0)))))</f>
        <v>0</v>
      </c>
      <c r="Q86" s="166">
        <f>IF(AND(B86="横向课题项目",K86&gt;=1),INT((K86-1)*10)*0.1,0)</f>
        <v>0</v>
      </c>
      <c r="R86" s="31">
        <f>IF(H86="独立完成",1,IF(J86=1,0.8,IF(J86=2,0.2,IF(J86=3,0.1,IF(J86&gt;3,0.05,0)))))</f>
        <v>0</v>
      </c>
      <c r="S86" s="166">
        <f>IF(Q86&gt;18,18,Q86)</f>
        <v>0</v>
      </c>
      <c r="T86" s="31">
        <f>IF(B86="国家级课题项目",40,0)</f>
        <v>0</v>
      </c>
      <c r="U86" s="31">
        <f>IF(B86="省级课题项目",20,0)</f>
        <v>0</v>
      </c>
      <c r="V86" s="31">
        <f>IF(B86="市级课题项目",10,0)</f>
        <v>0</v>
      </c>
      <c r="W86" s="31">
        <f>IF(B86="校级课题项目",5,0)</f>
        <v>0</v>
      </c>
      <c r="X86" s="31">
        <f>IF(B86="横向课题项目",2,0)</f>
        <v>0</v>
      </c>
      <c r="Y86" s="131">
        <f>IF(AND(OR(B86="国家级课题项目",B86="省级课题项目",B86="市级课题项目"),OR(H86="独立完成",J86=1)),1,0)</f>
        <v>0</v>
      </c>
      <c r="Z86" s="132"/>
      <c r="AA86" s="131">
        <f>IF(AND(OR(B86="国家级课题项目",B86="省级课题项目"),AND(J86&lt;&gt;"",J30&lt;&gt;1,J86&lt;4)),1,0)</f>
        <v>0</v>
      </c>
      <c r="AB86" s="132"/>
      <c r="AK86" s="133"/>
      <c r="AL86" s="133"/>
      <c r="AM86" s="133"/>
      <c r="AN86" s="133"/>
      <c r="AO86" s="133"/>
      <c r="AP86" s="133"/>
      <c r="AQ86" s="133"/>
      <c r="AR86" s="133"/>
      <c r="AS86" s="133"/>
      <c r="AT86" s="133"/>
      <c r="AU86" s="133"/>
      <c r="AV86" s="133"/>
      <c r="AW86" s="133"/>
      <c r="AX86" s="133"/>
      <c r="AY86" s="133"/>
      <c r="AZ86" s="133"/>
      <c r="BA86" s="133"/>
      <c r="BB86" s="133"/>
      <c r="BC86" s="133"/>
      <c r="BD86" s="133"/>
      <c r="BE86" s="133"/>
      <c r="BF86" s="133"/>
      <c r="BG86" s="133"/>
      <c r="BH86" s="133"/>
    </row>
    <row r="87" ht="31" customHeight="1" spans="1:60">
      <c r="A87" s="35"/>
      <c r="B87" s="135"/>
      <c r="C87" s="136"/>
      <c r="D87" s="136"/>
      <c r="E87" s="136"/>
      <c r="F87" s="136"/>
      <c r="G87" s="145"/>
      <c r="H87" s="145"/>
      <c r="I87" s="145"/>
      <c r="J87" s="145"/>
      <c r="K87" s="165"/>
      <c r="L87" s="157" t="str">
        <f>IF(B87&lt;&gt;"",R87,"")</f>
        <v/>
      </c>
      <c r="M87" s="157" t="str">
        <f>IF(B87&lt;&gt;"",SUM(S87:X87)*L87,"")</f>
        <v/>
      </c>
      <c r="N87" s="158"/>
      <c r="O87" s="166"/>
      <c r="P87" s="167">
        <f>IF(B87="国家级课题项目",40,IF(B87="省级课题项目",20,IF(B87="横向课题项目",2,IF(B87="市级课题项目",7,IF(B87="校级课题项目",5,0)))))</f>
        <v>0</v>
      </c>
      <c r="Q87" s="166">
        <f>IF(AND(B87="横向课题项目",K87&gt;=1),INT((K87-1)*10)*0.1,0)</f>
        <v>0</v>
      </c>
      <c r="R87" s="31">
        <f>IF(H87="独立完成",1,IF(J87=1,0.8,IF(J87=2,0.2,IF(J87=3,0.1,IF(J87&gt;3,0.05,0)))))</f>
        <v>0</v>
      </c>
      <c r="S87" s="166">
        <f>IF(Q87&gt;18,18,Q87)</f>
        <v>0</v>
      </c>
      <c r="T87" s="31">
        <f>IF(B87="国家级课题项目",40,0)</f>
        <v>0</v>
      </c>
      <c r="U87" s="31">
        <f>IF(B87="省级课题项目",20,0)</f>
        <v>0</v>
      </c>
      <c r="V87" s="31">
        <f>IF(B87="市级课题项目",10,0)</f>
        <v>0</v>
      </c>
      <c r="W87" s="31">
        <f>IF(B87="校级课题项目",5,0)</f>
        <v>0</v>
      </c>
      <c r="X87" s="31">
        <f>IF(B87="横向课题项目",2,0)</f>
        <v>0</v>
      </c>
      <c r="Y87" s="131">
        <f>IF(AND(OR(B87="国家级课题项目",B87="省级课题项目",B87="市级课题项目"),OR(H87="独立完成",J87=1)),1,0)</f>
        <v>0</v>
      </c>
      <c r="Z87" s="132"/>
      <c r="AA87" s="131">
        <f>IF(AND(OR(B87="国家级课题项目",B87="省级课题项目"),AND(J87&lt;&gt;"",J31&lt;&gt;1,J87&lt;4)),1,0)</f>
        <v>0</v>
      </c>
      <c r="AB87" s="132"/>
      <c r="AK87" s="133"/>
      <c r="AL87" s="133"/>
      <c r="AM87" s="133"/>
      <c r="AN87" s="133"/>
      <c r="AO87" s="133"/>
      <c r="AP87" s="133"/>
      <c r="AQ87" s="133"/>
      <c r="AR87" s="133"/>
      <c r="AS87" s="133"/>
      <c r="AT87" s="133"/>
      <c r="AU87" s="133"/>
      <c r="AV87" s="133"/>
      <c r="AW87" s="133"/>
      <c r="AX87" s="133"/>
      <c r="AY87" s="133"/>
      <c r="AZ87" s="133"/>
      <c r="BA87" s="133"/>
      <c r="BB87" s="133"/>
      <c r="BC87" s="133"/>
      <c r="BD87" s="133"/>
      <c r="BE87" s="133"/>
      <c r="BF87" s="133"/>
      <c r="BG87" s="133"/>
      <c r="BH87" s="133"/>
    </row>
    <row r="88" ht="31" customHeight="1" spans="1:60">
      <c r="A88" s="35"/>
      <c r="B88" s="135"/>
      <c r="C88" s="136"/>
      <c r="D88" s="136"/>
      <c r="E88" s="136"/>
      <c r="F88" s="136"/>
      <c r="G88" s="135"/>
      <c r="H88" s="135"/>
      <c r="I88" s="145"/>
      <c r="J88" s="168"/>
      <c r="K88" s="165"/>
      <c r="L88" s="157" t="str">
        <f>IF(B88&lt;&gt;"",R88,"")</f>
        <v/>
      </c>
      <c r="M88" s="157" t="str">
        <f>IF(B88&lt;&gt;"",SUM(S88:X88)*L88,"")</f>
        <v/>
      </c>
      <c r="N88" s="158"/>
      <c r="O88" s="166"/>
      <c r="P88" s="167">
        <f>IF(B88="国家级课题项目",40,IF(B88="省级课题项目",20,IF(B88="横向课题项目",2,IF(B88="市级课题项目",7,IF(B88="校级课题项目",5,0)))))</f>
        <v>0</v>
      </c>
      <c r="Q88" s="166">
        <f>IF(AND(B88="横向课题项目",K88&gt;=1),INT((K88-1)*10)*0.1,0)</f>
        <v>0</v>
      </c>
      <c r="R88" s="31">
        <f>IF(H88="独立完成",1,IF(J88=1,0.8,IF(J88=2,0.2,IF(J88=3,0.1,IF(J88&gt;3,0.05,0)))))</f>
        <v>0</v>
      </c>
      <c r="S88" s="166">
        <f>IF(Q88&gt;18,18,Q88)</f>
        <v>0</v>
      </c>
      <c r="T88" s="31">
        <f>IF(B88="国家级课题项目",40,0)</f>
        <v>0</v>
      </c>
      <c r="U88" s="31">
        <f>IF(B88="省级课题项目",20,0)</f>
        <v>0</v>
      </c>
      <c r="V88" s="31">
        <f>IF(B88="市级课题项目",10,0)</f>
        <v>0</v>
      </c>
      <c r="W88" s="31">
        <f>IF(B88="校级课题项目",5,0)</f>
        <v>0</v>
      </c>
      <c r="X88" s="31">
        <f>IF(B88="横向课题项目",2,0)</f>
        <v>0</v>
      </c>
      <c r="Y88" s="131">
        <f>IF(AND(OR(B88="国家级课题项目",B88="省级课题项目",B88="市级课题项目"),OR(H88="独立完成",J88=1)),1,0)</f>
        <v>0</v>
      </c>
      <c r="Z88" s="132"/>
      <c r="AA88" s="131">
        <f>IF(AND(OR(B88="国家级课题项目",B88="省级课题项目"),AND(J88&lt;&gt;"",J32&lt;&gt;1,J88&lt;4)),1,0)</f>
        <v>0</v>
      </c>
      <c r="AB88" s="132"/>
      <c r="AK88" s="133"/>
      <c r="AL88" s="133"/>
      <c r="AM88" s="133"/>
      <c r="AN88" s="133"/>
      <c r="AO88" s="133"/>
      <c r="AP88" s="133"/>
      <c r="AQ88" s="133"/>
      <c r="AR88" s="133"/>
      <c r="AS88" s="133"/>
      <c r="AT88" s="133"/>
      <c r="AU88" s="133"/>
      <c r="AV88" s="133"/>
      <c r="AW88" s="133"/>
      <c r="AX88" s="133"/>
      <c r="AY88" s="133"/>
      <c r="AZ88" s="133"/>
      <c r="BA88" s="133"/>
      <c r="BB88" s="133"/>
      <c r="BC88" s="133"/>
      <c r="BD88" s="133"/>
      <c r="BE88" s="133"/>
      <c r="BF88" s="133"/>
      <c r="BG88" s="133"/>
      <c r="BH88" s="133"/>
    </row>
    <row r="89" ht="31" customHeight="1" spans="1:60">
      <c r="A89" s="35"/>
      <c r="B89" s="138" t="s">
        <v>57</v>
      </c>
      <c r="C89" s="139"/>
      <c r="D89" s="139"/>
      <c r="E89" s="139"/>
      <c r="F89" s="139"/>
      <c r="G89" s="139"/>
      <c r="H89" s="139"/>
      <c r="I89" s="139"/>
      <c r="J89" s="139"/>
      <c r="K89" s="139"/>
      <c r="L89" s="159"/>
      <c r="M89" s="157">
        <f>IF(M84&lt;&gt;"",SUM(M84:M88),0)</f>
        <v>0</v>
      </c>
      <c r="N89" s="160"/>
      <c r="O89" s="160"/>
      <c r="AK89" s="133"/>
      <c r="AL89" s="133"/>
      <c r="AM89" s="133"/>
      <c r="AN89" s="133"/>
      <c r="AO89" s="133"/>
      <c r="AP89" s="133"/>
      <c r="AQ89" s="133"/>
      <c r="AR89" s="133"/>
      <c r="AS89" s="133"/>
      <c r="AT89" s="133"/>
      <c r="AU89" s="133"/>
      <c r="AV89" s="133"/>
      <c r="AW89" s="133"/>
      <c r="AX89" s="133"/>
      <c r="AY89" s="133"/>
      <c r="AZ89" s="133"/>
      <c r="BA89" s="133"/>
      <c r="BB89" s="133"/>
      <c r="BC89" s="133"/>
      <c r="BD89" s="133"/>
      <c r="BE89" s="133"/>
      <c r="BF89" s="133"/>
      <c r="BG89" s="133"/>
      <c r="BH89" s="133"/>
    </row>
    <row r="90" ht="31" customHeight="1" spans="1:60">
      <c r="A90" s="35"/>
      <c r="B90" s="134" t="s">
        <v>137</v>
      </c>
      <c r="C90" s="134"/>
      <c r="D90" s="134"/>
      <c r="E90" s="134"/>
      <c r="F90" s="134"/>
      <c r="G90" s="134"/>
      <c r="H90" s="134"/>
      <c r="I90" s="134"/>
      <c r="J90" s="134"/>
      <c r="K90" s="134"/>
      <c r="L90" s="134"/>
      <c r="M90" s="134"/>
      <c r="N90" s="134"/>
      <c r="O90" s="134"/>
      <c r="AK90" s="133"/>
      <c r="AL90" s="133"/>
      <c r="AM90" s="133"/>
      <c r="AN90" s="133"/>
      <c r="AO90" s="133"/>
      <c r="AP90" s="133"/>
      <c r="AQ90" s="133"/>
      <c r="AR90" s="133"/>
      <c r="AS90" s="133"/>
      <c r="AT90" s="133"/>
      <c r="AU90" s="133"/>
      <c r="AV90" s="133"/>
      <c r="AW90" s="133"/>
      <c r="AX90" s="133"/>
      <c r="AY90" s="133"/>
      <c r="AZ90" s="133"/>
      <c r="BA90" s="133"/>
      <c r="BB90" s="133"/>
      <c r="BC90" s="133"/>
      <c r="BD90" s="133"/>
      <c r="BE90" s="133"/>
      <c r="BF90" s="133"/>
      <c r="BG90" s="133"/>
      <c r="BH90" s="133"/>
    </row>
    <row r="91" ht="31" customHeight="1" spans="1:60">
      <c r="A91" s="35"/>
      <c r="B91" s="60" t="s">
        <v>138</v>
      </c>
      <c r="C91" s="60" t="s">
        <v>139</v>
      </c>
      <c r="D91" s="60" t="s">
        <v>124</v>
      </c>
      <c r="E91" s="60"/>
      <c r="F91" s="60"/>
      <c r="G91" s="60" t="s">
        <v>140</v>
      </c>
      <c r="H91" s="60"/>
      <c r="I91" s="60" t="s">
        <v>83</v>
      </c>
      <c r="J91" s="60" t="s">
        <v>84</v>
      </c>
      <c r="K91" s="60" t="s">
        <v>85</v>
      </c>
      <c r="L91" s="160" t="s">
        <v>86</v>
      </c>
      <c r="M91" s="60" t="s">
        <v>87</v>
      </c>
      <c r="N91" s="60" t="s">
        <v>39</v>
      </c>
      <c r="O91" s="60" t="s">
        <v>40</v>
      </c>
      <c r="P91" s="130" t="s">
        <v>88</v>
      </c>
      <c r="Q91" s="130" t="s">
        <v>141</v>
      </c>
      <c r="R91" s="130" t="s">
        <v>142</v>
      </c>
      <c r="S91" s="130" t="s">
        <v>143</v>
      </c>
      <c r="T91" s="130" t="s">
        <v>144</v>
      </c>
      <c r="U91" s="130" t="s">
        <v>145</v>
      </c>
      <c r="V91" s="175" t="s">
        <v>146</v>
      </c>
      <c r="W91" s="176"/>
      <c r="X91" s="175" t="s">
        <v>147</v>
      </c>
      <c r="Y91" s="176"/>
      <c r="AK91" s="133"/>
      <c r="AL91" s="133"/>
      <c r="AM91" s="133"/>
      <c r="AN91" s="133"/>
      <c r="AO91" s="133"/>
      <c r="AP91" s="133"/>
      <c r="AQ91" s="133"/>
      <c r="AR91" s="133"/>
      <c r="AS91" s="133"/>
      <c r="AT91" s="133"/>
      <c r="AU91" s="133"/>
      <c r="AV91" s="133"/>
      <c r="AW91" s="133"/>
      <c r="AX91" s="133"/>
      <c r="AY91" s="133"/>
      <c r="AZ91" s="133"/>
      <c r="BA91" s="133"/>
      <c r="BB91" s="133"/>
      <c r="BC91" s="133"/>
      <c r="BD91" s="133"/>
      <c r="BE91" s="133"/>
      <c r="BF91" s="133"/>
      <c r="BG91" s="133"/>
      <c r="BH91" s="133"/>
    </row>
    <row r="92" ht="31" customHeight="1" spans="1:60">
      <c r="A92" s="35"/>
      <c r="B92" s="135"/>
      <c r="C92" s="135"/>
      <c r="D92" s="136"/>
      <c r="E92" s="136"/>
      <c r="F92" s="136"/>
      <c r="G92" s="135"/>
      <c r="H92" s="135"/>
      <c r="I92" s="136"/>
      <c r="J92" s="169"/>
      <c r="K92" s="156"/>
      <c r="L92" s="157" t="str">
        <f>IF(B92&lt;&gt;"",P92,"")</f>
        <v/>
      </c>
      <c r="M92" s="157" t="str">
        <f t="shared" ref="M92:M94" si="0">IF(B92&lt;&gt;"",SUM(Q92:U92)*L92,"")</f>
        <v/>
      </c>
      <c r="N92" s="31"/>
      <c r="O92" s="31"/>
      <c r="P92" s="31">
        <f>IF(I92="独立完成",1,IF(K92=1,0.6,IF(K92=2,0.4,IF(K92=3,0.2,IF(K92=4,0.1,IF(K92&gt;4,0.05,0))))))</f>
        <v>0</v>
      </c>
      <c r="Q92" s="31">
        <f>IF(AND(OR(B92="市级成果奖",B92="市级教学奖"),C92="一等奖"),12,IF(AND(OR(B92="市级成果奖",B92="市级教学奖"),C92="二等奖"),10,IF(AND(OR(B92="市级成果奖",B92="市级教学奖"),OR(C92="三等奖",C92="无等级")),8,0)))</f>
        <v>0</v>
      </c>
      <c r="R92" s="31">
        <f>IF(AND(OR(B92="校级成果奖",B92="校级教学奖"),C92="一等奖"),6,IF(AND(OR(B92="校级成果奖",B92="校级教学奖"),C92="二等奖"),4,IF(AND(OR(B92="校级成果奖",B92="校级教学奖"),OR(C92="三等奖",C92="无等级")),2,0)))</f>
        <v>0</v>
      </c>
      <c r="S92" s="31">
        <f>IF(AND(OR(B92="国家级成果奖",B92="国家级教学奖"),C92="一等奖"),100,IF(AND(OR(B92="国家级成果奖",B92="国家级教学奖"),C92="二等奖"),80,IF(AND(OR(B92="国家级成果奖",B92="国家级教学奖"),OR(C92="三等奖",C92="无等级")),60,0)))</f>
        <v>0</v>
      </c>
      <c r="T92" s="31">
        <f>IF(AND(OR(B92="国家开放大学成果奖",B92="国家开放大学教学奖"),C92="一等奖"),30,IF(AND(OR(B92="国家开放大学成果奖",B92="国家开放大学教学奖"),C92="二等奖"),24,IF(AND(OR(B92="国家开放大学成果奖",B92="国家开放大学教学奖"),OR(C92="三等奖",C92="无等级")),18,0)))</f>
        <v>0</v>
      </c>
      <c r="U92" s="31">
        <f>IF(AND(OR(B92="省级成果奖",B92="省级教学奖"),C92="一等奖"),30,IF(AND(OR(B92="省级成果奖",B92="省级教学奖"),C92="二等奖"),24,IF(AND(OR(B92="省级成果奖",B92="省级教学奖"),OR(C92="三等奖",C92="无等级")),18,0)))</f>
        <v>0</v>
      </c>
      <c r="V92" s="131">
        <f>IF(AND(B92&lt;&gt;"",OR(C92="一等奖",C92="二等奖",C92="三等奖",C92="无等级"),OR(I92="独立完成",K92=1)),1,0)</f>
        <v>0</v>
      </c>
      <c r="W92" s="132"/>
      <c r="X92" s="131">
        <f>IF(AND(OR(B92="省级成果奖",B92="国家级成果奖",B92="国家开放大学成果奖",B92="省级教学奖",B92="国家级教学奖",B92="国家开放大学教学奖",B92="市级成果奖",B92="市级教学奖"),AND(K92&lt;&gt;"",K92&lt;&gt;1,K92&lt;4)),1,0)</f>
        <v>0</v>
      </c>
      <c r="Y92" s="132"/>
      <c r="AK92" s="133"/>
      <c r="AL92" s="133"/>
      <c r="AM92" s="133"/>
      <c r="AN92" s="133"/>
      <c r="AO92" s="133"/>
      <c r="AP92" s="133"/>
      <c r="AQ92" s="133"/>
      <c r="AR92" s="133"/>
      <c r="AS92" s="133"/>
      <c r="AT92" s="133"/>
      <c r="AU92" s="133"/>
      <c r="AV92" s="133"/>
      <c r="AW92" s="133"/>
      <c r="AX92" s="133"/>
      <c r="AY92" s="133"/>
      <c r="AZ92" s="133"/>
      <c r="BA92" s="133"/>
      <c r="BB92" s="133"/>
      <c r="BC92" s="133"/>
      <c r="BD92" s="133"/>
      <c r="BE92" s="133"/>
      <c r="BF92" s="133"/>
      <c r="BG92" s="133"/>
      <c r="BH92" s="133"/>
    </row>
    <row r="93" ht="31" customHeight="1" spans="1:60">
      <c r="A93" s="35"/>
      <c r="B93" s="135"/>
      <c r="C93" s="135"/>
      <c r="D93" s="136"/>
      <c r="E93" s="136"/>
      <c r="F93" s="136"/>
      <c r="G93" s="135"/>
      <c r="H93" s="146"/>
      <c r="I93" s="136"/>
      <c r="J93" s="169"/>
      <c r="K93" s="156"/>
      <c r="L93" s="157" t="str">
        <f>IF(B93&lt;&gt;"",P93,"")</f>
        <v/>
      </c>
      <c r="M93" s="157" t="str">
        <f t="shared" si="0"/>
        <v/>
      </c>
      <c r="N93" s="31"/>
      <c r="O93" s="31"/>
      <c r="P93" s="31">
        <f>IF(I93="独立完成",1,IF(K93=1,0.6,IF(K93=2,0.4,IF(K93=3,0.2,IF(K93=4,0.1,IF(K93&gt;4,0.05,0))))))</f>
        <v>0</v>
      </c>
      <c r="Q93" s="31">
        <f>IF(AND(OR(B93="市级成果奖",B93="市级教学奖"),C93="一等奖"),12,IF(AND(OR(B93="市级成果奖",B93="市级教学奖"),C93="二等奖"),10,IF(AND(OR(B93="市级成果奖",B93="市级教学奖"),OR(C93="三等奖",C93="无等级")),8,0)))</f>
        <v>0</v>
      </c>
      <c r="R93" s="31">
        <f>IF(AND(OR(B93="校级成果奖",B93="校级教学奖"),C93="一等奖"),6,IF(AND(OR(B93="校级成果奖",B93="校级教学奖"),C93="二等奖"),4,IF(AND(OR(B93="校级成果奖",B93="校级教学奖"),OR(C93="三等奖",C93="无等级")),2,0)))</f>
        <v>0</v>
      </c>
      <c r="S93" s="31">
        <f>IF(AND(OR(B93="国家级成果奖",B93="国家级教学奖"),C93="一等奖"),100,IF(AND(OR(B93="国家级成果奖",B93="国家级教学奖"),C93="二等奖"),80,IF(AND(OR(B93="国家级成果奖",B93="国家级教学奖"),OR(C93="三等奖",C93="无等级")),60,0)))</f>
        <v>0</v>
      </c>
      <c r="T93" s="31">
        <f>IF(AND(OR(B93="国家开放大学成果奖",B93="国家开放大学教学奖"),C93="一等奖"),30,IF(AND(OR(B93="国家开放大学成果奖",B93="国家开放大学教学奖"),C93="二等奖"),24,IF(AND(OR(B93="国家开放大学成果奖",B93="国家开放大学教学奖"),OR(C93="三等奖",C93="无等级")),18,0)))</f>
        <v>0</v>
      </c>
      <c r="U93" s="31">
        <f>IF(AND(OR(B93="省级成果奖",B93="省级教学奖"),C93="一等奖"),30,IF(AND(OR(B93="省级成果奖",B93="省级教学奖"),C93="二等奖"),24,IF(AND(OR(B93="省级成果奖",B93="省级教学奖"),OR(C93="三等奖",C93="无等级")),18,0)))</f>
        <v>0</v>
      </c>
      <c r="V93" s="131">
        <f>IF(AND(B93&lt;&gt;"",OR(C93="一等奖",C93="二等奖",C93="三等奖",C93="无等级"),OR(I93="独立完成",K93=1)),1,0)</f>
        <v>0</v>
      </c>
      <c r="W93" s="132"/>
      <c r="X93" s="131">
        <f>IF(AND(OR(B93="省级成果奖",B93="国家级成果奖",B93="国家开放大学成果奖",B93="省级教学奖",B93="国家级教学奖",B93="国家开放大学教学奖",B93="市级成果奖",B93="市级教学奖"),AND(K93&lt;&gt;"",K93&lt;&gt;1,K93&lt;4)),1,0)</f>
        <v>0</v>
      </c>
      <c r="Y93" s="132"/>
      <c r="AK93" s="133"/>
      <c r="AL93" s="133"/>
      <c r="AM93" s="133"/>
      <c r="AN93" s="133"/>
      <c r="AO93" s="133"/>
      <c r="AP93" s="133"/>
      <c r="AQ93" s="133"/>
      <c r="AR93" s="133"/>
      <c r="AS93" s="133"/>
      <c r="AT93" s="133"/>
      <c r="AU93" s="133"/>
      <c r="AV93" s="133"/>
      <c r="AW93" s="133"/>
      <c r="AX93" s="133"/>
      <c r="AY93" s="133"/>
      <c r="AZ93" s="133"/>
      <c r="BA93" s="133"/>
      <c r="BB93" s="133"/>
      <c r="BC93" s="133"/>
      <c r="BD93" s="133"/>
      <c r="BE93" s="133"/>
      <c r="BF93" s="133"/>
      <c r="BG93" s="133"/>
      <c r="BH93" s="133"/>
    </row>
    <row r="94" ht="31" customHeight="1" spans="1:60">
      <c r="A94" s="35"/>
      <c r="B94" s="138" t="s">
        <v>57</v>
      </c>
      <c r="C94" s="139"/>
      <c r="D94" s="139"/>
      <c r="E94" s="139"/>
      <c r="F94" s="139"/>
      <c r="G94" s="139"/>
      <c r="H94" s="139"/>
      <c r="I94" s="139"/>
      <c r="J94" s="139"/>
      <c r="K94" s="139"/>
      <c r="L94" s="159"/>
      <c r="M94" s="157">
        <f>IF(M92&lt;&gt;"",SUM(M92:M93),0)</f>
        <v>0</v>
      </c>
      <c r="N94" s="160"/>
      <c r="O94" s="160"/>
      <c r="AK94" s="133"/>
      <c r="AL94" s="133"/>
      <c r="AM94" s="133"/>
      <c r="AN94" s="133"/>
      <c r="AO94" s="133"/>
      <c r="AP94" s="133"/>
      <c r="AQ94" s="133"/>
      <c r="AR94" s="133"/>
      <c r="AS94" s="133"/>
      <c r="AT94" s="133"/>
      <c r="AU94" s="133"/>
      <c r="AV94" s="133"/>
      <c r="AW94" s="133"/>
      <c r="AX94" s="133"/>
      <c r="AY94" s="133"/>
      <c r="AZ94" s="133"/>
      <c r="BA94" s="133"/>
      <c r="BB94" s="133"/>
      <c r="BC94" s="133"/>
      <c r="BD94" s="133"/>
      <c r="BE94" s="133"/>
      <c r="BF94" s="133"/>
      <c r="BG94" s="133"/>
      <c r="BH94" s="133"/>
    </row>
    <row r="95" ht="31" customHeight="1" spans="1:60">
      <c r="A95" s="35"/>
      <c r="B95" s="134" t="s">
        <v>148</v>
      </c>
      <c r="C95" s="134"/>
      <c r="D95" s="134"/>
      <c r="E95" s="134"/>
      <c r="F95" s="134"/>
      <c r="G95" s="134"/>
      <c r="H95" s="134"/>
      <c r="I95" s="134"/>
      <c r="J95" s="134"/>
      <c r="K95" s="134"/>
      <c r="L95" s="134"/>
      <c r="M95" s="134"/>
      <c r="N95" s="134"/>
      <c r="O95" s="134"/>
      <c r="AK95" s="133"/>
      <c r="AL95" s="133"/>
      <c r="AM95" s="133"/>
      <c r="AN95" s="133"/>
      <c r="AO95" s="133"/>
      <c r="AP95" s="133"/>
      <c r="AQ95" s="133"/>
      <c r="AR95" s="133"/>
      <c r="AS95" s="133"/>
      <c r="AT95" s="133"/>
      <c r="AU95" s="133"/>
      <c r="AV95" s="133"/>
      <c r="AW95" s="133"/>
      <c r="AX95" s="133"/>
      <c r="AY95" s="133"/>
      <c r="AZ95" s="133"/>
      <c r="BA95" s="133"/>
      <c r="BB95" s="133"/>
      <c r="BC95" s="133"/>
      <c r="BD95" s="133"/>
      <c r="BE95" s="133"/>
      <c r="BF95" s="133"/>
      <c r="BG95" s="133"/>
      <c r="BH95" s="133"/>
    </row>
    <row r="96" ht="31" customHeight="1" spans="1:60">
      <c r="A96" s="35"/>
      <c r="B96" s="92" t="s">
        <v>123</v>
      </c>
      <c r="C96" s="93" t="s">
        <v>124</v>
      </c>
      <c r="D96" s="147"/>
      <c r="E96" s="94"/>
      <c r="F96" s="93" t="s">
        <v>149</v>
      </c>
      <c r="G96" s="94"/>
      <c r="H96" s="60" t="s">
        <v>83</v>
      </c>
      <c r="I96" s="60" t="s">
        <v>84</v>
      </c>
      <c r="J96" s="60" t="s">
        <v>85</v>
      </c>
      <c r="K96" s="60" t="s">
        <v>126</v>
      </c>
      <c r="L96" s="60" t="s">
        <v>86</v>
      </c>
      <c r="M96" s="60" t="s">
        <v>87</v>
      </c>
      <c r="N96" s="60" t="s">
        <v>39</v>
      </c>
      <c r="O96" s="60" t="s">
        <v>40</v>
      </c>
      <c r="P96" s="164" t="s">
        <v>127</v>
      </c>
      <c r="Q96" s="31" t="s">
        <v>128</v>
      </c>
      <c r="R96" s="31" t="s">
        <v>88</v>
      </c>
      <c r="S96" s="130" t="s">
        <v>129</v>
      </c>
      <c r="T96" s="130" t="s">
        <v>130</v>
      </c>
      <c r="U96" s="130" t="s">
        <v>131</v>
      </c>
      <c r="V96" s="130" t="s">
        <v>132</v>
      </c>
      <c r="W96" s="130" t="s">
        <v>133</v>
      </c>
      <c r="X96" s="130" t="s">
        <v>134</v>
      </c>
      <c r="AK96" s="133"/>
      <c r="AL96" s="133"/>
      <c r="AM96" s="133"/>
      <c r="AN96" s="133"/>
      <c r="AO96" s="133"/>
      <c r="AP96" s="133"/>
      <c r="AQ96" s="133"/>
      <c r="AR96" s="133"/>
      <c r="AS96" s="133"/>
      <c r="AT96" s="133"/>
      <c r="AU96" s="133"/>
      <c r="AV96" s="133"/>
      <c r="AW96" s="133"/>
      <c r="AX96" s="133"/>
      <c r="AY96" s="133"/>
      <c r="AZ96" s="133"/>
      <c r="BA96" s="133"/>
      <c r="BB96" s="133"/>
      <c r="BC96" s="133"/>
      <c r="BD96" s="133"/>
      <c r="BE96" s="133"/>
      <c r="BF96" s="133"/>
      <c r="BG96" s="133"/>
      <c r="BH96" s="133"/>
    </row>
    <row r="97" ht="31" customHeight="1" spans="1:60">
      <c r="A97" s="35"/>
      <c r="B97" s="135"/>
      <c r="C97" s="141"/>
      <c r="D97" s="142"/>
      <c r="E97" s="143"/>
      <c r="F97" s="148"/>
      <c r="G97" s="149"/>
      <c r="H97" s="145"/>
      <c r="I97" s="145"/>
      <c r="J97" s="145"/>
      <c r="K97" s="165"/>
      <c r="L97" s="157" t="str">
        <f>IF(B97&lt;&gt;"",R97,"")</f>
        <v/>
      </c>
      <c r="M97" s="157" t="str">
        <f>IF(B97&lt;&gt;"",SUM(S97:X97)*L97,"")</f>
        <v/>
      </c>
      <c r="N97" s="158"/>
      <c r="O97" s="166"/>
      <c r="P97" s="167" t="str">
        <f>IF(B97="国家级课题项目",40,IF(B97="省级课题项目",20,IF(B97="横向课题项目",2,IF(B97="市级课题项目",7,IF(B97="校级课题项目",5,"")))))</f>
        <v/>
      </c>
      <c r="Q97" s="166">
        <f>IF(AND(B97="横向技术项目",K97&gt;=1),INT((K97-1)*10)*0.1,0)</f>
        <v>0</v>
      </c>
      <c r="R97" s="31">
        <f>IF(H97="独立完成",1,IF(J97=1,0.8,IF(J97=2,0.2,IF(J97=3,0.1,IF(J97&gt;3,0.05,0)))))</f>
        <v>0</v>
      </c>
      <c r="S97" s="166">
        <f>IF(Q97&gt;18,18,Q97)</f>
        <v>0</v>
      </c>
      <c r="T97" s="31">
        <f>IF(B97="国家级课题项目",40,0)</f>
        <v>0</v>
      </c>
      <c r="U97" s="31">
        <f>IF(B97="省级课题项目",20,0)</f>
        <v>0</v>
      </c>
      <c r="V97" s="31">
        <f>IF(B97="市级课题项目",10,0)</f>
        <v>0</v>
      </c>
      <c r="W97" s="31">
        <f>IF(B97="校级课题项目",5,0)</f>
        <v>0</v>
      </c>
      <c r="X97" s="31">
        <f>IF(B97="横向技术项目",2,0)</f>
        <v>0</v>
      </c>
      <c r="AK97" s="133"/>
      <c r="AL97" s="133"/>
      <c r="AM97" s="133"/>
      <c r="AN97" s="133"/>
      <c r="AO97" s="133"/>
      <c r="AP97" s="133"/>
      <c r="AQ97" s="133"/>
      <c r="AR97" s="133"/>
      <c r="AS97" s="133"/>
      <c r="AT97" s="133"/>
      <c r="AU97" s="133"/>
      <c r="AV97" s="133"/>
      <c r="AW97" s="133"/>
      <c r="AX97" s="133"/>
      <c r="AY97" s="133"/>
      <c r="AZ97" s="133"/>
      <c r="BA97" s="133"/>
      <c r="BB97" s="133"/>
      <c r="BC97" s="133"/>
      <c r="BD97" s="133"/>
      <c r="BE97" s="133"/>
      <c r="BF97" s="133"/>
      <c r="BG97" s="133"/>
      <c r="BH97" s="133"/>
    </row>
    <row r="98" ht="31" customHeight="1" spans="1:60">
      <c r="A98" s="35"/>
      <c r="B98" s="135"/>
      <c r="C98" s="141"/>
      <c r="D98" s="142"/>
      <c r="E98" s="143"/>
      <c r="F98" s="148"/>
      <c r="G98" s="149"/>
      <c r="H98" s="145"/>
      <c r="I98" s="145"/>
      <c r="J98" s="145"/>
      <c r="K98" s="165"/>
      <c r="L98" s="157" t="str">
        <f>IF(B98&lt;&gt;"",R98,"")</f>
        <v/>
      </c>
      <c r="M98" s="157" t="str">
        <f>IF(B98&lt;&gt;"",SUM(S98:X98)*L98,"")</f>
        <v/>
      </c>
      <c r="N98" s="158"/>
      <c r="O98" s="166"/>
      <c r="P98" s="167" t="str">
        <f>IF(B98="国家级课题项目",40,IF(B98="省级课题项目",20,IF(B98="横向课题项目",2,IF(B98="市级课题项目",7,IF(B98="校级课题项目",5,"")))))</f>
        <v/>
      </c>
      <c r="Q98" s="166">
        <f>IF(AND(B98="横向技术项目",K98&gt;=1),INT((K98-1)*10)*0.1,0)</f>
        <v>0</v>
      </c>
      <c r="R98" s="31">
        <f>IF(H98="独立完成",1,IF(J98=1,0.8,IF(J98=2,0.2,IF(J98=3,0.1,IF(J98&gt;3,0.05,0)))))</f>
        <v>0</v>
      </c>
      <c r="S98" s="166">
        <f>IF(Q98&gt;18,18,Q98)</f>
        <v>0</v>
      </c>
      <c r="T98" s="31">
        <f>IF(B98="国家级课题项目",40,0)</f>
        <v>0</v>
      </c>
      <c r="U98" s="31">
        <f>IF(B98="省级课题项目",20,0)</f>
        <v>0</v>
      </c>
      <c r="V98" s="31">
        <f>IF(B98="市级课题项目",10,0)</f>
        <v>0</v>
      </c>
      <c r="W98" s="31">
        <f>IF(B98="校级课题项目",5,0)</f>
        <v>0</v>
      </c>
      <c r="X98" s="31">
        <f>IF(B98="横向技术项目",2,0)</f>
        <v>0</v>
      </c>
      <c r="AK98" s="133"/>
      <c r="AL98" s="133"/>
      <c r="AM98" s="133"/>
      <c r="AN98" s="133"/>
      <c r="AO98" s="133"/>
      <c r="AP98" s="133"/>
      <c r="AQ98" s="133"/>
      <c r="AR98" s="133"/>
      <c r="AS98" s="133"/>
      <c r="AT98" s="133"/>
      <c r="AU98" s="133"/>
      <c r="AV98" s="133"/>
      <c r="AW98" s="133"/>
      <c r="AX98" s="133"/>
      <c r="AY98" s="133"/>
      <c r="AZ98" s="133"/>
      <c r="BA98" s="133"/>
      <c r="BB98" s="133"/>
      <c r="BC98" s="133"/>
      <c r="BD98" s="133"/>
      <c r="BE98" s="133"/>
      <c r="BF98" s="133"/>
      <c r="BG98" s="133"/>
      <c r="BH98" s="133"/>
    </row>
    <row r="99" ht="31" customHeight="1" spans="1:60">
      <c r="A99" s="35"/>
      <c r="B99" s="138" t="s">
        <v>57</v>
      </c>
      <c r="C99" s="139"/>
      <c r="D99" s="139"/>
      <c r="E99" s="139"/>
      <c r="F99" s="139"/>
      <c r="G99" s="139"/>
      <c r="H99" s="139"/>
      <c r="I99" s="139"/>
      <c r="J99" s="139"/>
      <c r="K99" s="139"/>
      <c r="L99" s="159"/>
      <c r="M99" s="157">
        <f>IF(M97&lt;&gt;"",SUM(M97:M98),0)</f>
        <v>0</v>
      </c>
      <c r="N99" s="160"/>
      <c r="O99" s="160"/>
      <c r="AK99" s="133"/>
      <c r="AL99" s="133"/>
      <c r="AM99" s="133"/>
      <c r="AN99" s="133"/>
      <c r="AO99" s="133"/>
      <c r="AP99" s="133"/>
      <c r="AQ99" s="133"/>
      <c r="AR99" s="133"/>
      <c r="AS99" s="133"/>
      <c r="AT99" s="133"/>
      <c r="AU99" s="133"/>
      <c r="AV99" s="133"/>
      <c r="AW99" s="133"/>
      <c r="AX99" s="133"/>
      <c r="AY99" s="133"/>
      <c r="AZ99" s="133"/>
      <c r="BA99" s="133"/>
      <c r="BB99" s="133"/>
      <c r="BC99" s="133"/>
      <c r="BD99" s="133"/>
      <c r="BE99" s="133"/>
      <c r="BF99" s="133"/>
      <c r="BG99" s="133"/>
      <c r="BH99" s="133"/>
    </row>
    <row r="100" ht="31" customHeight="1" spans="1:60">
      <c r="A100" s="35"/>
      <c r="B100" s="134" t="s">
        <v>150</v>
      </c>
      <c r="C100" s="134"/>
      <c r="D100" s="134"/>
      <c r="E100" s="134"/>
      <c r="F100" s="134"/>
      <c r="G100" s="134"/>
      <c r="H100" s="134"/>
      <c r="I100" s="134"/>
      <c r="J100" s="134"/>
      <c r="K100" s="134"/>
      <c r="L100" s="134"/>
      <c r="M100" s="134"/>
      <c r="N100" s="134"/>
      <c r="O100" s="134"/>
      <c r="AK100" s="133"/>
      <c r="AL100" s="133"/>
      <c r="AM100" s="133"/>
      <c r="AN100" s="133"/>
      <c r="AO100" s="133"/>
      <c r="AP100" s="133"/>
      <c r="AQ100" s="133"/>
      <c r="AR100" s="133"/>
      <c r="AS100" s="133"/>
      <c r="AT100" s="133"/>
      <c r="AU100" s="133"/>
      <c r="AV100" s="133"/>
      <c r="AW100" s="133"/>
      <c r="AX100" s="133"/>
      <c r="AY100" s="133"/>
      <c r="AZ100" s="133"/>
      <c r="BA100" s="133"/>
      <c r="BB100" s="133"/>
      <c r="BC100" s="133"/>
      <c r="BD100" s="133"/>
      <c r="BE100" s="133"/>
      <c r="BF100" s="133"/>
      <c r="BG100" s="133"/>
      <c r="BH100" s="133"/>
    </row>
    <row r="101" ht="31" customHeight="1" spans="1:60">
      <c r="A101" s="35"/>
      <c r="B101" s="60" t="s">
        <v>61</v>
      </c>
      <c r="C101" s="60" t="s">
        <v>151</v>
      </c>
      <c r="D101" s="60"/>
      <c r="E101" s="60" t="s">
        <v>152</v>
      </c>
      <c r="F101" s="60" t="s">
        <v>124</v>
      </c>
      <c r="G101" s="60"/>
      <c r="H101" s="140" t="s">
        <v>153</v>
      </c>
      <c r="I101" s="140" t="s">
        <v>83</v>
      </c>
      <c r="J101" s="60" t="s">
        <v>84</v>
      </c>
      <c r="K101" s="60" t="s">
        <v>85</v>
      </c>
      <c r="L101" s="60" t="s">
        <v>86</v>
      </c>
      <c r="M101" s="60" t="s">
        <v>87</v>
      </c>
      <c r="N101" s="60" t="s">
        <v>39</v>
      </c>
      <c r="O101" s="60" t="s">
        <v>40</v>
      </c>
      <c r="P101" s="130" t="s">
        <v>154</v>
      </c>
      <c r="Q101" s="130" t="s">
        <v>155</v>
      </c>
      <c r="R101" s="175" t="s">
        <v>156</v>
      </c>
      <c r="S101" s="176"/>
      <c r="T101" s="130"/>
      <c r="U101" s="130"/>
      <c r="V101" s="130"/>
      <c r="W101" s="130"/>
      <c r="X101" s="130"/>
      <c r="Y101" s="130"/>
      <c r="Z101" s="130"/>
      <c r="AA101" s="130"/>
      <c r="AB101" s="130" t="s">
        <v>157</v>
      </c>
      <c r="AC101" s="130" t="s">
        <v>158</v>
      </c>
      <c r="AK101" s="133"/>
      <c r="AL101" s="133"/>
      <c r="AM101" s="133"/>
      <c r="AN101" s="133"/>
      <c r="AO101" s="133"/>
      <c r="AP101" s="133"/>
      <c r="AQ101" s="133"/>
      <c r="AR101" s="133"/>
      <c r="AS101" s="133"/>
      <c r="AT101" s="133"/>
      <c r="AU101" s="133"/>
      <c r="AV101" s="133"/>
      <c r="AW101" s="133"/>
      <c r="AX101" s="133"/>
      <c r="AY101" s="133"/>
      <c r="AZ101" s="133"/>
      <c r="BA101" s="133"/>
      <c r="BB101" s="133"/>
      <c r="BC101" s="133"/>
      <c r="BD101" s="133"/>
      <c r="BE101" s="133"/>
      <c r="BF101" s="133"/>
      <c r="BG101" s="133"/>
      <c r="BH101" s="133"/>
    </row>
    <row r="102" ht="31" customHeight="1" spans="1:60">
      <c r="A102" s="35"/>
      <c r="B102" s="135"/>
      <c r="C102" s="135"/>
      <c r="D102" s="135"/>
      <c r="E102" s="135"/>
      <c r="F102" s="136"/>
      <c r="G102" s="136"/>
      <c r="H102" s="136"/>
      <c r="I102" s="136"/>
      <c r="J102" s="156"/>
      <c r="K102" s="156"/>
      <c r="L102" s="170" t="str">
        <f>IF(B102&lt;&gt;"",AB102+AC102,"")</f>
        <v/>
      </c>
      <c r="M102" s="170" t="str">
        <f>IF(B102&lt;&gt;"",P102*L102,"")</f>
        <v/>
      </c>
      <c r="N102" s="158"/>
      <c r="O102" s="158"/>
      <c r="P102" s="31">
        <f>IF(AND(OR(C102="教学团队",C102="科研创新团队（平台）"),E102="国家级"),40,IF(AND(OR(C102="教学团队",C102="科研创新团队（平台）"),E102="省级"),20,IF(AND(OR(C102="教学团队",C102="科研创新团队（平台）"),E102="市级"),10,IF(AND(OR(C102="教学团队",C102="科研创新团队（平台）"),E102="校级"),5,0))))</f>
        <v>0</v>
      </c>
      <c r="Q102" s="31">
        <f>IF(OR(I102="独立完成",K102=1),1,0)</f>
        <v>0</v>
      </c>
      <c r="R102" s="131">
        <f>IF(AND(K102&lt;&gt;"",K102&lt;&gt;1,K102&lt;4),1,0)</f>
        <v>0</v>
      </c>
      <c r="S102" s="132"/>
      <c r="T102" s="31"/>
      <c r="U102" s="31"/>
      <c r="V102" s="31"/>
      <c r="W102" s="31"/>
      <c r="X102" s="166"/>
      <c r="Y102" s="166"/>
      <c r="Z102" s="166"/>
      <c r="AA102" s="158"/>
      <c r="AB102" s="158">
        <f>IF(B102="团队建设",IF(I102="独立完成",1,IF(K102=1,0.6,IF(AND(J102=2,K102=2),0.4,IF(AND(J102&gt;2,K102=2),0.3,IF(AND(J102&gt;2,K102=3),0.2,IF(AND(J102&gt;2,K102&gt;3),0.1)))))),0)</f>
        <v>0</v>
      </c>
      <c r="AC102" s="158">
        <f>IF(NOT(B102="团队建设"),IF(I102="独立完成",1,IF(K102=1,0.5,IF(AND(J102=2,K102=2),0.5,IF(AND(J102&gt;2,K102=2),0.3,IF(AND(J102&gt;2,K102=3),0.2,IF(AND(J102&gt;2,K102&gt;3),0.1,0)))))),0)</f>
        <v>0</v>
      </c>
      <c r="AD102" s="158"/>
      <c r="AE102" s="158"/>
      <c r="AK102" s="133"/>
      <c r="AL102" s="133"/>
      <c r="AM102" s="133"/>
      <c r="AN102" s="133"/>
      <c r="AO102" s="133"/>
      <c r="AP102" s="133"/>
      <c r="AQ102" s="133"/>
      <c r="AR102" s="133"/>
      <c r="AS102" s="133"/>
      <c r="AT102" s="133"/>
      <c r="AU102" s="133"/>
      <c r="AV102" s="133"/>
      <c r="AW102" s="133"/>
      <c r="AX102" s="133"/>
      <c r="AY102" s="133"/>
      <c r="AZ102" s="133"/>
      <c r="BA102" s="133"/>
      <c r="BB102" s="133"/>
      <c r="BC102" s="133"/>
      <c r="BD102" s="133"/>
      <c r="BE102" s="133"/>
      <c r="BF102" s="133"/>
      <c r="BG102" s="133"/>
      <c r="BH102" s="133"/>
    </row>
    <row r="103" ht="31" customHeight="1" spans="1:60">
      <c r="A103" s="35"/>
      <c r="B103" s="135"/>
      <c r="C103" s="135"/>
      <c r="D103" s="135"/>
      <c r="E103" s="135"/>
      <c r="F103" s="136"/>
      <c r="G103" s="136"/>
      <c r="H103" s="136"/>
      <c r="I103" s="136"/>
      <c r="J103" s="156"/>
      <c r="K103" s="156"/>
      <c r="L103" s="170" t="str">
        <f>IF(B103&lt;&gt;"",AB103+AC103,"")</f>
        <v/>
      </c>
      <c r="M103" s="170" t="str">
        <f>IF(B103&lt;&gt;"",P103*L103,"")</f>
        <v/>
      </c>
      <c r="N103" s="158"/>
      <c r="O103" s="158"/>
      <c r="P103" s="31">
        <f>IF(AND(OR(C103="教学团队",C103="科研创新团队（平台）"),E103="国家级"),40,IF(AND(OR(C103="教学团队",C103="科研创新团队（平台）"),E103="省级"),20,IF(AND(OR(C103="教学团队",C103="科研创新团队（平台）"),E103="市级"),10,IF(AND(OR(C103="教学团队",C103="科研创新团队（平台）"),E103="校级"),5,0))))</f>
        <v>0</v>
      </c>
      <c r="Q103" s="31">
        <f>IF(OR(I103="独立完成",K103=1),1,0)</f>
        <v>0</v>
      </c>
      <c r="R103" s="131">
        <f>IF(AND(K103&lt;&gt;"",K103&lt;&gt;1,K103&lt;4),1,0)</f>
        <v>0</v>
      </c>
      <c r="S103" s="132"/>
      <c r="T103" s="31"/>
      <c r="U103" s="31"/>
      <c r="V103" s="31"/>
      <c r="W103" s="31"/>
      <c r="X103" s="166"/>
      <c r="Y103" s="166"/>
      <c r="Z103" s="166"/>
      <c r="AA103" s="158"/>
      <c r="AB103" s="158">
        <f>IF(B103="团队建设",IF(I103="独立完成",1,IF(K103=1,0.6,IF(AND(J103=2,K103=2),0.4,IF(AND(J103&gt;2,K103=2),0.3,IF(AND(J103&gt;2,K103=3),0.2,IF(AND(J103&gt;2,K103&gt;3),0.1)))))),0)</f>
        <v>0</v>
      </c>
      <c r="AC103" s="158">
        <f>IF(NOT(B103="团队建设"),IF(I103="独立完成",1,IF(K103=1,0.5,IF(AND(J103=2,K103=2),0.5,IF(AND(J103&gt;2,K103=2),0.3,IF(AND(J103&gt;2,K103=3),0.2,IF(AND(J103&gt;2,K103&gt;3),0.1,0)))))),0)</f>
        <v>0</v>
      </c>
      <c r="AD103" s="158"/>
      <c r="AE103" s="158"/>
      <c r="AK103" s="133"/>
      <c r="AL103" s="133"/>
      <c r="AM103" s="133"/>
      <c r="AN103" s="133"/>
      <c r="AO103" s="133"/>
      <c r="AP103" s="133"/>
      <c r="AQ103" s="133"/>
      <c r="AR103" s="133"/>
      <c r="AS103" s="133"/>
      <c r="AT103" s="133"/>
      <c r="AU103" s="133"/>
      <c r="AV103" s="133"/>
      <c r="AW103" s="133"/>
      <c r="AX103" s="133"/>
      <c r="AY103" s="133"/>
      <c r="AZ103" s="133"/>
      <c r="BA103" s="133"/>
      <c r="BB103" s="133"/>
      <c r="BC103" s="133"/>
      <c r="BD103" s="133"/>
      <c r="BE103" s="133"/>
      <c r="BF103" s="133"/>
      <c r="BG103" s="133"/>
      <c r="BH103" s="133"/>
    </row>
    <row r="104" ht="31" customHeight="1" spans="1:60">
      <c r="A104" s="35"/>
      <c r="B104" s="134" t="s">
        <v>159</v>
      </c>
      <c r="C104" s="134"/>
      <c r="D104" s="134"/>
      <c r="E104" s="134"/>
      <c r="F104" s="134"/>
      <c r="G104" s="134"/>
      <c r="H104" s="134"/>
      <c r="I104" s="134"/>
      <c r="J104" s="134"/>
      <c r="K104" s="134"/>
      <c r="L104" s="134"/>
      <c r="M104" s="170">
        <f>IF(M102&lt;&gt;"",SUM(M102:M103),0)</f>
        <v>0</v>
      </c>
      <c r="N104" s="171"/>
      <c r="O104" s="171"/>
      <c r="Q104" s="31"/>
      <c r="AB104" s="158"/>
      <c r="AK104" s="133"/>
      <c r="AL104" s="133"/>
      <c r="AM104" s="133"/>
      <c r="AN104" s="133"/>
      <c r="AO104" s="133"/>
      <c r="AP104" s="133"/>
      <c r="AQ104" s="133"/>
      <c r="AR104" s="133"/>
      <c r="AS104" s="133"/>
      <c r="AT104" s="133"/>
      <c r="AU104" s="133"/>
      <c r="AV104" s="133"/>
      <c r="AW104" s="133"/>
      <c r="AX104" s="133"/>
      <c r="AY104" s="133"/>
      <c r="AZ104" s="133"/>
      <c r="BA104" s="133"/>
      <c r="BB104" s="133"/>
      <c r="BC104" s="133"/>
      <c r="BD104" s="133"/>
      <c r="BE104" s="133"/>
      <c r="BF104" s="133"/>
      <c r="BG104" s="133"/>
      <c r="BH104" s="133"/>
    </row>
    <row r="105" ht="29.3" customHeight="1" spans="1:60">
      <c r="A105" s="35"/>
      <c r="B105" s="60" t="s">
        <v>160</v>
      </c>
      <c r="C105" s="65" t="s">
        <v>161</v>
      </c>
      <c r="D105" s="79"/>
      <c r="E105" s="77" t="s">
        <v>162</v>
      </c>
      <c r="F105" s="79"/>
      <c r="G105" s="65" t="s">
        <v>163</v>
      </c>
      <c r="H105" s="79"/>
      <c r="I105" s="65" t="s">
        <v>164</v>
      </c>
      <c r="J105" s="79"/>
      <c r="K105" s="65" t="s">
        <v>165</v>
      </c>
      <c r="L105" s="172"/>
      <c r="M105" s="172"/>
      <c r="N105" s="60" t="s">
        <v>39</v>
      </c>
      <c r="O105" s="60" t="s">
        <v>40</v>
      </c>
      <c r="P105" s="31" t="s">
        <v>166</v>
      </c>
      <c r="AK105" s="133"/>
      <c r="AL105" s="133"/>
      <c r="AM105" s="133"/>
      <c r="AN105" s="133"/>
      <c r="AO105" s="133"/>
      <c r="AP105" s="133"/>
      <c r="AQ105" s="133"/>
      <c r="AR105" s="133"/>
      <c r="AS105" s="133"/>
      <c r="AT105" s="133"/>
      <c r="AU105" s="133"/>
      <c r="AV105" s="133"/>
      <c r="AW105" s="133"/>
      <c r="AX105" s="133"/>
      <c r="AY105" s="133"/>
      <c r="AZ105" s="133"/>
      <c r="BA105" s="133"/>
      <c r="BB105" s="133"/>
      <c r="BC105" s="133"/>
      <c r="BD105" s="133"/>
      <c r="BE105" s="133"/>
      <c r="BF105" s="133"/>
      <c r="BG105" s="133"/>
      <c r="BH105" s="133"/>
    </row>
    <row r="106" ht="29.3" customHeight="1" spans="1:60">
      <c r="A106" s="35"/>
      <c r="B106" s="60"/>
      <c r="C106" s="95"/>
      <c r="D106" s="96"/>
      <c r="E106" s="95"/>
      <c r="F106" s="96"/>
      <c r="G106" s="95"/>
      <c r="H106" s="96"/>
      <c r="I106" s="95"/>
      <c r="J106" s="96"/>
      <c r="K106" s="95"/>
      <c r="L106" s="99"/>
      <c r="M106" s="96"/>
      <c r="N106" s="125"/>
      <c r="O106" s="125"/>
      <c r="P106" s="31">
        <f>COUNTA(C106:D107)</f>
        <v>0</v>
      </c>
      <c r="AK106" s="133"/>
      <c r="AL106" s="133"/>
      <c r="AM106" s="133"/>
      <c r="AN106" s="133"/>
      <c r="AO106" s="133"/>
      <c r="AP106" s="133"/>
      <c r="AQ106" s="133"/>
      <c r="AR106" s="133"/>
      <c r="AS106" s="133"/>
      <c r="AT106" s="133"/>
      <c r="AU106" s="133"/>
      <c r="AV106" s="133"/>
      <c r="AW106" s="133"/>
      <c r="AX106" s="133"/>
      <c r="AY106" s="133"/>
      <c r="AZ106" s="133"/>
      <c r="BA106" s="133"/>
      <c r="BB106" s="133"/>
      <c r="BC106" s="133"/>
      <c r="BD106" s="133"/>
      <c r="BE106" s="133"/>
      <c r="BF106" s="133"/>
      <c r="BG106" s="133"/>
      <c r="BH106" s="133"/>
    </row>
    <row r="107" ht="29.3" customHeight="1" spans="1:60">
      <c r="A107" s="35"/>
      <c r="B107" s="60"/>
      <c r="C107" s="95"/>
      <c r="D107" s="96"/>
      <c r="E107" s="95"/>
      <c r="F107" s="96"/>
      <c r="G107" s="95"/>
      <c r="H107" s="96"/>
      <c r="I107" s="95"/>
      <c r="J107" s="96"/>
      <c r="K107" s="95"/>
      <c r="L107" s="99"/>
      <c r="M107" s="96"/>
      <c r="N107" s="125"/>
      <c r="O107" s="125"/>
      <c r="AK107" s="133"/>
      <c r="AL107" s="133"/>
      <c r="AM107" s="133"/>
      <c r="AN107" s="133"/>
      <c r="AO107" s="133"/>
      <c r="AP107" s="133"/>
      <c r="AQ107" s="133"/>
      <c r="AR107" s="133"/>
      <c r="AS107" s="133"/>
      <c r="AT107" s="133"/>
      <c r="AU107" s="133"/>
      <c r="AV107" s="133"/>
      <c r="AW107" s="133"/>
      <c r="AX107" s="133"/>
      <c r="AY107" s="133"/>
      <c r="AZ107" s="133"/>
      <c r="BA107" s="133"/>
      <c r="BB107" s="133"/>
      <c r="BC107" s="133"/>
      <c r="BD107" s="133"/>
      <c r="BE107" s="133"/>
      <c r="BF107" s="133"/>
      <c r="BG107" s="133"/>
      <c r="BH107" s="133"/>
    </row>
    <row r="108" ht="31" customHeight="1" spans="1:60">
      <c r="A108" s="35"/>
      <c r="B108" s="134" t="s">
        <v>167</v>
      </c>
      <c r="C108" s="134"/>
      <c r="D108" s="134"/>
      <c r="E108" s="134"/>
      <c r="F108" s="134"/>
      <c r="G108" s="134"/>
      <c r="H108" s="134"/>
      <c r="I108" s="134"/>
      <c r="J108" s="134"/>
      <c r="K108" s="134"/>
      <c r="L108" s="134"/>
      <c r="M108" s="134"/>
      <c r="N108" s="134"/>
      <c r="O108" s="134"/>
      <c r="AK108" s="133"/>
      <c r="AL108" s="133"/>
      <c r="AM108" s="133"/>
      <c r="AN108" s="133"/>
      <c r="AO108" s="133"/>
      <c r="AP108" s="133"/>
      <c r="AQ108" s="133"/>
      <c r="AR108" s="133"/>
      <c r="AS108" s="133"/>
      <c r="AT108" s="133"/>
      <c r="AU108" s="133"/>
      <c r="AV108" s="133"/>
      <c r="AW108" s="133"/>
      <c r="AX108" s="133"/>
      <c r="AY108" s="133"/>
      <c r="AZ108" s="133"/>
      <c r="BA108" s="133"/>
      <c r="BB108" s="133"/>
      <c r="BC108" s="133"/>
      <c r="BD108" s="133"/>
      <c r="BE108" s="133"/>
      <c r="BF108" s="133"/>
      <c r="BG108" s="133"/>
      <c r="BH108" s="133"/>
    </row>
    <row r="109" ht="31" customHeight="1" spans="1:60">
      <c r="A109" s="35"/>
      <c r="B109" s="60" t="s">
        <v>61</v>
      </c>
      <c r="C109" s="60" t="s">
        <v>151</v>
      </c>
      <c r="D109" s="60"/>
      <c r="E109" s="60" t="s">
        <v>152</v>
      </c>
      <c r="F109" s="60" t="s">
        <v>124</v>
      </c>
      <c r="G109" s="60"/>
      <c r="H109" s="140" t="s">
        <v>153</v>
      </c>
      <c r="I109" s="140" t="s">
        <v>83</v>
      </c>
      <c r="J109" s="60" t="s">
        <v>84</v>
      </c>
      <c r="K109" s="60" t="s">
        <v>168</v>
      </c>
      <c r="L109" s="60" t="s">
        <v>86</v>
      </c>
      <c r="M109" s="60" t="s">
        <v>87</v>
      </c>
      <c r="N109" s="60" t="s">
        <v>39</v>
      </c>
      <c r="O109" s="60" t="s">
        <v>40</v>
      </c>
      <c r="P109" s="130" t="s">
        <v>169</v>
      </c>
      <c r="Q109" s="130" t="s">
        <v>170</v>
      </c>
      <c r="R109" s="175" t="s">
        <v>171</v>
      </c>
      <c r="S109" s="176"/>
      <c r="T109" s="177"/>
      <c r="U109" s="177"/>
      <c r="V109" s="177"/>
      <c r="W109" s="130"/>
      <c r="X109" s="130"/>
      <c r="Y109" s="130"/>
      <c r="Z109" s="130"/>
      <c r="AA109" s="130"/>
      <c r="AB109" s="130"/>
      <c r="AC109" s="130"/>
      <c r="AK109" s="133"/>
      <c r="AL109" s="133"/>
      <c r="AM109" s="133"/>
      <c r="AN109" s="133"/>
      <c r="AO109" s="133"/>
      <c r="AP109" s="133"/>
      <c r="AQ109" s="133"/>
      <c r="AR109" s="133"/>
      <c r="AS109" s="133"/>
      <c r="AT109" s="133"/>
      <c r="AU109" s="133"/>
      <c r="AV109" s="133"/>
      <c r="AW109" s="133"/>
      <c r="AX109" s="133"/>
      <c r="AY109" s="133"/>
      <c r="AZ109" s="133"/>
      <c r="BA109" s="133"/>
      <c r="BB109" s="133"/>
      <c r="BC109" s="133"/>
      <c r="BD109" s="133"/>
      <c r="BE109" s="133"/>
      <c r="BF109" s="133"/>
      <c r="BG109" s="133"/>
      <c r="BH109" s="133"/>
    </row>
    <row r="110" ht="31" customHeight="1" spans="1:60">
      <c r="A110" s="35"/>
      <c r="B110" s="135"/>
      <c r="C110" s="135"/>
      <c r="D110" s="135"/>
      <c r="E110" s="135"/>
      <c r="F110" s="136"/>
      <c r="G110" s="136"/>
      <c r="H110" s="136"/>
      <c r="I110" s="136"/>
      <c r="J110" s="156"/>
      <c r="K110" s="156"/>
      <c r="L110" s="170" t="str">
        <f>IF(B110&lt;&gt;0,1,"")</f>
        <v/>
      </c>
      <c r="M110" s="170" t="str">
        <f>IF(B110&lt;&gt;"",SUM(P110:Q110)*L110,"")</f>
        <v/>
      </c>
      <c r="N110" s="158"/>
      <c r="O110" s="158"/>
      <c r="P110" s="31">
        <f>IF(B110&lt;&gt;"",IF(OR(I110="独立完成",K110=1),IF(E110="国家级",10,IF(E110="省级",5,IF(E110="市级",3,IF(E110="校级",2)))),0),0)</f>
        <v>0</v>
      </c>
      <c r="Q110" s="31">
        <f>IF(AND(I110="合作完成",AND(K110&gt;1,K110&lt;4)),IF(E110="国家级",5,IF(E110="省级",3,IF(E110="市级",2,IF(E110="校级",1)))),0)</f>
        <v>0</v>
      </c>
      <c r="R110" s="131">
        <f>IF(OR(OR(I110="独立完成",K110=1),AND(NOT(E110="校级"),AND(K110&lt;&gt;"",K110&lt;4))),1,0)</f>
        <v>0</v>
      </c>
      <c r="S110" s="132"/>
      <c r="T110" s="177"/>
      <c r="U110" s="177"/>
      <c r="V110" s="177"/>
      <c r="W110" s="31"/>
      <c r="X110" s="166"/>
      <c r="Y110" s="166"/>
      <c r="Z110" s="166"/>
      <c r="AA110" s="158"/>
      <c r="AB110" s="158"/>
      <c r="AC110" s="158"/>
      <c r="AD110" s="158"/>
      <c r="AE110" s="158"/>
      <c r="AK110" s="133"/>
      <c r="AL110" s="133"/>
      <c r="AM110" s="133"/>
      <c r="AN110" s="133"/>
      <c r="AO110" s="133"/>
      <c r="AP110" s="133"/>
      <c r="AQ110" s="133"/>
      <c r="AR110" s="133"/>
      <c r="AS110" s="133"/>
      <c r="AT110" s="133"/>
      <c r="AU110" s="133"/>
      <c r="AV110" s="133"/>
      <c r="AW110" s="133"/>
      <c r="AX110" s="133"/>
      <c r="AY110" s="133"/>
      <c r="AZ110" s="133"/>
      <c r="BA110" s="133"/>
      <c r="BB110" s="133"/>
      <c r="BC110" s="133"/>
      <c r="BD110" s="133"/>
      <c r="BE110" s="133"/>
      <c r="BF110" s="133"/>
      <c r="BG110" s="133"/>
      <c r="BH110" s="133"/>
    </row>
    <row r="111" ht="31" customHeight="1" spans="1:60">
      <c r="A111" s="35"/>
      <c r="B111" s="138"/>
      <c r="C111" s="139"/>
      <c r="D111" s="139"/>
      <c r="E111" s="139"/>
      <c r="F111" s="139"/>
      <c r="G111" s="139"/>
      <c r="H111" s="139"/>
      <c r="I111" s="139"/>
      <c r="J111" s="139"/>
      <c r="K111" s="139"/>
      <c r="L111" s="159"/>
      <c r="M111" s="170">
        <f>IF(M110&lt;&gt;"",M110,0)</f>
        <v>0</v>
      </c>
      <c r="N111" s="171"/>
      <c r="O111" s="171"/>
      <c r="Q111" s="31"/>
      <c r="AB111" s="158"/>
      <c r="AK111" s="133"/>
      <c r="AL111" s="133"/>
      <c r="AM111" s="133"/>
      <c r="AN111" s="133"/>
      <c r="AO111" s="133"/>
      <c r="AP111" s="133"/>
      <c r="AQ111" s="133"/>
      <c r="AR111" s="133"/>
      <c r="AS111" s="133"/>
      <c r="AT111" s="133"/>
      <c r="AU111" s="133"/>
      <c r="AV111" s="133"/>
      <c r="AW111" s="133"/>
      <c r="AX111" s="133"/>
      <c r="AY111" s="133"/>
      <c r="AZ111" s="133"/>
      <c r="BA111" s="133"/>
      <c r="BB111" s="133"/>
      <c r="BC111" s="133"/>
      <c r="BD111" s="133"/>
      <c r="BE111" s="133"/>
      <c r="BF111" s="133"/>
      <c r="BG111" s="133"/>
      <c r="BH111" s="133"/>
    </row>
    <row r="112" ht="31" customHeight="1" spans="1:60">
      <c r="A112" s="35"/>
      <c r="B112" s="134" t="s">
        <v>172</v>
      </c>
      <c r="C112" s="134"/>
      <c r="D112" s="134"/>
      <c r="E112" s="134"/>
      <c r="F112" s="134"/>
      <c r="G112" s="134"/>
      <c r="H112" s="134"/>
      <c r="I112" s="134"/>
      <c r="J112" s="134"/>
      <c r="K112" s="134"/>
      <c r="L112" s="134"/>
      <c r="M112" s="134"/>
      <c r="N112" s="134"/>
      <c r="O112" s="134"/>
      <c r="AK112" s="133"/>
      <c r="AL112" s="133"/>
      <c r="AM112" s="133"/>
      <c r="AN112" s="133"/>
      <c r="AO112" s="133"/>
      <c r="AP112" s="133"/>
      <c r="AQ112" s="133"/>
      <c r="AR112" s="133"/>
      <c r="AS112" s="133"/>
      <c r="AT112" s="133"/>
      <c r="AU112" s="133"/>
      <c r="AV112" s="133"/>
      <c r="AW112" s="133"/>
      <c r="AX112" s="133"/>
      <c r="AY112" s="133"/>
      <c r="AZ112" s="133"/>
      <c r="BA112" s="133"/>
      <c r="BB112" s="133"/>
      <c r="BC112" s="133"/>
      <c r="BD112" s="133"/>
      <c r="BE112" s="133"/>
      <c r="BF112" s="133"/>
      <c r="BG112" s="133"/>
      <c r="BH112" s="133"/>
    </row>
    <row r="113" ht="31" customHeight="1" spans="1:60">
      <c r="A113" s="35"/>
      <c r="B113" s="150" t="s">
        <v>139</v>
      </c>
      <c r="C113" s="151" t="s">
        <v>173</v>
      </c>
      <c r="D113" s="150" t="s">
        <v>124</v>
      </c>
      <c r="E113" s="150"/>
      <c r="F113" s="150"/>
      <c r="G113" s="60" t="s">
        <v>153</v>
      </c>
      <c r="H113" s="60"/>
      <c r="I113" s="60" t="s">
        <v>174</v>
      </c>
      <c r="J113" s="150" t="s">
        <v>83</v>
      </c>
      <c r="K113" s="150" t="s">
        <v>84</v>
      </c>
      <c r="L113" s="160" t="s">
        <v>86</v>
      </c>
      <c r="M113" s="150" t="s">
        <v>87</v>
      </c>
      <c r="N113" s="60" t="s">
        <v>39</v>
      </c>
      <c r="O113" s="60" t="s">
        <v>40</v>
      </c>
      <c r="P113" s="130" t="s">
        <v>143</v>
      </c>
      <c r="Q113" s="130" t="s">
        <v>141</v>
      </c>
      <c r="R113" s="130" t="s">
        <v>142</v>
      </c>
      <c r="S113" s="130" t="s">
        <v>144</v>
      </c>
      <c r="T113" s="130" t="s">
        <v>145</v>
      </c>
      <c r="U113" s="31" t="s">
        <v>88</v>
      </c>
      <c r="V113" s="31" t="s">
        <v>175</v>
      </c>
      <c r="W113" s="31"/>
      <c r="X113" s="31"/>
      <c r="Y113" s="31"/>
      <c r="Z113" s="31"/>
      <c r="AA113" s="31"/>
      <c r="AB113" s="31"/>
      <c r="AC113" s="31"/>
      <c r="AK113" s="133"/>
      <c r="AL113" s="133"/>
      <c r="AM113" s="133"/>
      <c r="AN113" s="133"/>
      <c r="AO113" s="133"/>
      <c r="AP113" s="133"/>
      <c r="AQ113" s="133"/>
      <c r="AR113" s="133"/>
      <c r="AS113" s="133"/>
      <c r="AT113" s="133"/>
      <c r="AU113" s="133"/>
      <c r="AV113" s="133"/>
      <c r="AW113" s="133"/>
      <c r="AX113" s="133"/>
      <c r="AY113" s="133"/>
      <c r="AZ113" s="133"/>
      <c r="BA113" s="133"/>
      <c r="BB113" s="133"/>
      <c r="BC113" s="133"/>
      <c r="BD113" s="133"/>
      <c r="BE113" s="133"/>
      <c r="BF113" s="133"/>
      <c r="BG113" s="133"/>
      <c r="BH113" s="133"/>
    </row>
    <row r="114" ht="31" customHeight="1" spans="1:60">
      <c r="A114" s="35"/>
      <c r="B114" s="135"/>
      <c r="C114" s="135"/>
      <c r="D114" s="152"/>
      <c r="E114" s="153"/>
      <c r="F114" s="154"/>
      <c r="G114" s="141"/>
      <c r="H114" s="143"/>
      <c r="I114" s="173"/>
      <c r="J114" s="136"/>
      <c r="K114" s="156"/>
      <c r="L114" s="157" t="str">
        <f>IF(B114&lt;&gt;"",U114,"")</f>
        <v/>
      </c>
      <c r="M114" s="157" t="str">
        <f>IF(B114&lt;&gt;"",SUM(P114:T114)*L114,"")</f>
        <v/>
      </c>
      <c r="N114" s="158"/>
      <c r="O114" s="158"/>
      <c r="P114" s="31">
        <f>IF(AND(B114="国家级",OR(C114="一等奖",C114="金奖")),30,IF(AND(B114="国家级",OR(C114="二等奖",C114="银奖")),24,IF(AND(B114="国家级",OR(C114="三等奖",C114="铜奖",C114="无等级")),18,0)))</f>
        <v>0</v>
      </c>
      <c r="Q114" s="31">
        <f>IF(AND(B114="市级",OR(C114="一等奖",C114="金奖")),9,IF(AND(B114="市级",OR(C114="二等奖",C114="银奖")),7,IF(AND(B114="市级",OR(C114="三等奖",C114="铜奖",C114="无等级")),5,0)))</f>
        <v>0</v>
      </c>
      <c r="R114" s="31">
        <f>IF(AND(B114="校级",OR(C114="一等奖",C114="金奖")),5,IF(AND(B114="校级",OR(C114="二等奖",C114="银奖")),3,IF(AND(B114="校级",OR(C114="三等奖",C114="铜奖",C114="无等级")),2,0)))</f>
        <v>0</v>
      </c>
      <c r="S114" s="178">
        <f>IF(AND(B114="国家开放大学",OR(C114="一等奖",C114="金奖")),15,IF(AND(B114="国家开放大学",OR(C114="二等奖",C114="银奖")),12,IF(AND(B114="国家开放大学",OR(C114="三等奖",C114="铜奖",C114="无等级")),9,0)))</f>
        <v>0</v>
      </c>
      <c r="T114" s="178">
        <f>IF(AND(B114="省级",OR(C114="一等奖",C114="金奖")),15,IF(AND(B114="省级",OR(C114="二等奖",C114="银奖")),12,IF(AND(B114="省级",OR(C114="三等奖",C114="铜奖",C114="无等级")),9,0)))</f>
        <v>0</v>
      </c>
      <c r="U114" s="158">
        <v>1</v>
      </c>
      <c r="V114" s="178">
        <f>IF(OR(B114="",B114="校级"),0,1)</f>
        <v>0</v>
      </c>
      <c r="W114" s="158"/>
      <c r="X114" s="158"/>
      <c r="Y114" s="158"/>
      <c r="Z114" s="158"/>
      <c r="AA114" s="158"/>
      <c r="AB114" s="158"/>
      <c r="AC114" s="158"/>
      <c r="AD114" s="158"/>
      <c r="AE114" s="158"/>
      <c r="AK114" s="133"/>
      <c r="AL114" s="133"/>
      <c r="AM114" s="133"/>
      <c r="AN114" s="133"/>
      <c r="AO114" s="133"/>
      <c r="AP114" s="133"/>
      <c r="AQ114" s="133"/>
      <c r="AR114" s="133"/>
      <c r="AS114" s="133"/>
      <c r="AT114" s="133"/>
      <c r="AU114" s="133"/>
      <c r="AV114" s="133"/>
      <c r="AW114" s="133"/>
      <c r="AX114" s="133"/>
      <c r="AY114" s="133"/>
      <c r="AZ114" s="133"/>
      <c r="BA114" s="133"/>
      <c r="BB114" s="133"/>
      <c r="BC114" s="133"/>
      <c r="BD114" s="133"/>
      <c r="BE114" s="133"/>
      <c r="BF114" s="133"/>
      <c r="BG114" s="133"/>
      <c r="BH114" s="133"/>
    </row>
    <row r="115" ht="31" customHeight="1" spans="1:60">
      <c r="A115" s="35"/>
      <c r="B115" s="135"/>
      <c r="C115" s="135"/>
      <c r="D115" s="152"/>
      <c r="E115" s="153"/>
      <c r="F115" s="154"/>
      <c r="G115" s="141"/>
      <c r="H115" s="143"/>
      <c r="I115" s="173"/>
      <c r="J115" s="136"/>
      <c r="K115" s="156"/>
      <c r="L115" s="157" t="str">
        <f>IF(B115&lt;&gt;"",U115,"")</f>
        <v/>
      </c>
      <c r="M115" s="157" t="str">
        <f>IF(B115&lt;&gt;"",SUM(P115:T115)*L115,"")</f>
        <v/>
      </c>
      <c r="N115" s="158"/>
      <c r="O115" s="158"/>
      <c r="P115" s="31">
        <f>IF(AND(B115="国家级",OR(C115="一等奖",C115="金奖")),30,IF(AND(B115="国家级",OR(C115="二等奖",C115="银奖")),24,IF(AND(B115="国家级",OR(C115="三等奖",C115="铜奖",C115="无等级")),18,0)))</f>
        <v>0</v>
      </c>
      <c r="Q115" s="31">
        <f>IF(AND(B115="市级",OR(C115="一等奖",C115="金奖")),9,IF(AND(B115="市级",OR(C115="二等奖",C115="银奖")),7,IF(AND(B115="市级",OR(C115="三等奖",C115="铜奖",C115="无等级")),5,0)))</f>
        <v>0</v>
      </c>
      <c r="R115" s="31">
        <f>IF(AND(B115="校级",OR(C115="一等奖",C115="金奖")),5,IF(AND(B115="校级",OR(C115="二等奖",C115="银奖")),3,IF(AND(B115="校级",OR(C115="三等奖",C115="铜奖",C115="无等级")),2,0)))</f>
        <v>0</v>
      </c>
      <c r="S115" s="178">
        <f>IF(AND(B115="国家开放大学",OR(C115="一等奖",C115="金奖")),15,IF(AND(B115="国家开放大学",OR(C115="二等奖",C115="银奖")),12,IF(AND(B115="国家开放大学",OR(C115="三等奖",C115="铜奖",C115="无等级")),9,0)))</f>
        <v>0</v>
      </c>
      <c r="T115" s="178">
        <f>IF(AND(B115="省级",OR(C115="一等奖",C115="金奖")),15,IF(AND(B115="省级",OR(C115="二等奖",C115="银奖")),12,IF(AND(B115="省级",OR(C115="三等奖",C115="铜奖",C115="无等级")),9,0)))</f>
        <v>0</v>
      </c>
      <c r="U115" s="158">
        <v>1</v>
      </c>
      <c r="V115" s="178">
        <f>IF(OR(B115="",B115="校级"),0,1)</f>
        <v>0</v>
      </c>
      <c r="W115" s="158"/>
      <c r="X115" s="158"/>
      <c r="Y115" s="158"/>
      <c r="Z115" s="158"/>
      <c r="AA115" s="158"/>
      <c r="AB115" s="158"/>
      <c r="AC115" s="158"/>
      <c r="AD115" s="158"/>
      <c r="AE115" s="158"/>
      <c r="AK115" s="133"/>
      <c r="AL115" s="133"/>
      <c r="AM115" s="133"/>
      <c r="AN115" s="133"/>
      <c r="AO115" s="133"/>
      <c r="AP115" s="133"/>
      <c r="AQ115" s="133"/>
      <c r="AR115" s="133"/>
      <c r="AS115" s="133"/>
      <c r="AT115" s="133"/>
      <c r="AU115" s="133"/>
      <c r="AV115" s="133"/>
      <c r="AW115" s="133"/>
      <c r="AX115" s="133"/>
      <c r="AY115" s="133"/>
      <c r="AZ115" s="133"/>
      <c r="BA115" s="133"/>
      <c r="BB115" s="133"/>
      <c r="BC115" s="133"/>
      <c r="BD115" s="133"/>
      <c r="BE115" s="133"/>
      <c r="BF115" s="133"/>
      <c r="BG115" s="133"/>
      <c r="BH115" s="133"/>
    </row>
    <row r="116" ht="31" customHeight="1" spans="1:60">
      <c r="A116" s="35"/>
      <c r="B116" s="135"/>
      <c r="C116" s="135"/>
      <c r="D116" s="152"/>
      <c r="E116" s="153"/>
      <c r="F116" s="154"/>
      <c r="G116" s="141"/>
      <c r="H116" s="143"/>
      <c r="I116" s="173"/>
      <c r="J116" s="136"/>
      <c r="K116" s="156"/>
      <c r="L116" s="157" t="str">
        <f>IF(B116&lt;&gt;"",U116,"")</f>
        <v/>
      </c>
      <c r="M116" s="157" t="str">
        <f>IF(B116&lt;&gt;"",SUM(P116:T116)*L116,"")</f>
        <v/>
      </c>
      <c r="N116" s="158"/>
      <c r="O116" s="158"/>
      <c r="P116" s="31">
        <f>IF(AND(B116="国家级",OR(C116="一等奖",C116="金奖")),30,IF(AND(B116="国家级",OR(C116="二等奖",C116="银奖")),24,IF(AND(B116="国家级",OR(C116="三等奖",C116="铜奖",C116="无等级")),18,0)))</f>
        <v>0</v>
      </c>
      <c r="Q116" s="31">
        <f>IF(AND(B116="市级",OR(C116="一等奖",C116="金奖")),9,IF(AND(B116="市级",OR(C116="二等奖",C116="银奖")),7,IF(AND(B116="市级",OR(C116="三等奖",C116="铜奖",C116="无等级")),5,0)))</f>
        <v>0</v>
      </c>
      <c r="R116" s="31">
        <f>IF(AND(B116="校级",OR(C116="一等奖",C116="金奖")),5,IF(AND(B116="校级",OR(C116="二等奖",C116="银奖")),3,IF(AND(B116="校级",OR(C116="三等奖",C116="铜奖",C116="无等级")),2,0)))</f>
        <v>0</v>
      </c>
      <c r="S116" s="178">
        <f>IF(AND(B116="国家开放大学",OR(C116="一等奖",C116="金奖")),15,IF(AND(B116="国家开放大学",OR(C116="二等奖",C116="银奖")),12,IF(AND(B116="国家开放大学",OR(C116="三等奖",C116="铜奖",C116="无等级")),9,0)))</f>
        <v>0</v>
      </c>
      <c r="T116" s="178">
        <f>IF(AND(B116="省级",OR(C116="一等奖",C116="金奖")),15,IF(AND(B116="省级",OR(C116="二等奖",C116="银奖")),12,IF(AND(B116="省级",OR(C116="三等奖",C116="铜奖",C116="无等级")),9,0)))</f>
        <v>0</v>
      </c>
      <c r="U116" s="158">
        <v>1</v>
      </c>
      <c r="V116" s="178">
        <f>IF(OR(B116="",B116="校级"),0,1)</f>
        <v>0</v>
      </c>
      <c r="W116" s="158"/>
      <c r="X116" s="158"/>
      <c r="Y116" s="158"/>
      <c r="Z116" s="158"/>
      <c r="AA116" s="158"/>
      <c r="AB116" s="158"/>
      <c r="AC116" s="158"/>
      <c r="AD116" s="158"/>
      <c r="AE116" s="158"/>
      <c r="AK116" s="133"/>
      <c r="AL116" s="133"/>
      <c r="AM116" s="133"/>
      <c r="AN116" s="133"/>
      <c r="AO116" s="133"/>
      <c r="AP116" s="133"/>
      <c r="AQ116" s="133"/>
      <c r="AR116" s="133"/>
      <c r="AS116" s="133"/>
      <c r="AT116" s="133"/>
      <c r="AU116" s="133"/>
      <c r="AV116" s="133"/>
      <c r="AW116" s="133"/>
      <c r="AX116" s="133"/>
      <c r="AY116" s="133"/>
      <c r="AZ116" s="133"/>
      <c r="BA116" s="133"/>
      <c r="BB116" s="133"/>
      <c r="BC116" s="133"/>
      <c r="BD116" s="133"/>
      <c r="BE116" s="133"/>
      <c r="BF116" s="133"/>
      <c r="BG116" s="133"/>
      <c r="BH116" s="133"/>
    </row>
    <row r="117" ht="31" customHeight="1" spans="1:60">
      <c r="A117" s="35"/>
      <c r="B117" s="138" t="s">
        <v>57</v>
      </c>
      <c r="C117" s="139"/>
      <c r="D117" s="139"/>
      <c r="E117" s="139"/>
      <c r="F117" s="139"/>
      <c r="G117" s="139"/>
      <c r="H117" s="139"/>
      <c r="I117" s="139"/>
      <c r="J117" s="139"/>
      <c r="K117" s="139"/>
      <c r="L117" s="159"/>
      <c r="M117" s="157">
        <f>IF(M114&lt;&gt;"",SUM(M114:M116),0)</f>
        <v>0</v>
      </c>
      <c r="N117" s="171"/>
      <c r="O117" s="171"/>
      <c r="AK117" s="133"/>
      <c r="AL117" s="133"/>
      <c r="AM117" s="133"/>
      <c r="AN117" s="133"/>
      <c r="AO117" s="133"/>
      <c r="AP117" s="133"/>
      <c r="AQ117" s="133"/>
      <c r="AR117" s="133"/>
      <c r="AS117" s="133"/>
      <c r="AT117" s="133"/>
      <c r="AU117" s="133"/>
      <c r="AV117" s="133"/>
      <c r="AW117" s="133"/>
      <c r="AX117" s="133"/>
      <c r="AY117" s="133"/>
      <c r="AZ117" s="133"/>
      <c r="BA117" s="133"/>
      <c r="BB117" s="133"/>
      <c r="BC117" s="133"/>
      <c r="BD117" s="133"/>
      <c r="BE117" s="133"/>
      <c r="BF117" s="133"/>
      <c r="BG117" s="133"/>
      <c r="BH117" s="133"/>
    </row>
    <row r="118" ht="31" customHeight="1" spans="1:60">
      <c r="A118" s="35"/>
      <c r="B118" s="134" t="s">
        <v>176</v>
      </c>
      <c r="C118" s="134"/>
      <c r="D118" s="134"/>
      <c r="E118" s="134"/>
      <c r="F118" s="134"/>
      <c r="G118" s="134"/>
      <c r="H118" s="134"/>
      <c r="I118" s="134"/>
      <c r="J118" s="134"/>
      <c r="K118" s="134"/>
      <c r="L118" s="134"/>
      <c r="M118" s="134"/>
      <c r="N118" s="134"/>
      <c r="O118" s="134"/>
      <c r="AK118" s="133"/>
      <c r="AL118" s="133"/>
      <c r="AM118" s="133"/>
      <c r="AN118" s="133"/>
      <c r="AO118" s="133"/>
      <c r="AP118" s="133"/>
      <c r="AQ118" s="133"/>
      <c r="AR118" s="133"/>
      <c r="AS118" s="133"/>
      <c r="AT118" s="133"/>
      <c r="AU118" s="133"/>
      <c r="AV118" s="133"/>
      <c r="AW118" s="133"/>
      <c r="AX118" s="133"/>
      <c r="AY118" s="133"/>
      <c r="AZ118" s="133"/>
      <c r="BA118" s="133"/>
      <c r="BB118" s="133"/>
      <c r="BC118" s="133"/>
      <c r="BD118" s="133"/>
      <c r="BE118" s="133"/>
      <c r="BF118" s="133"/>
      <c r="BG118" s="133"/>
      <c r="BH118" s="133"/>
    </row>
    <row r="119" ht="31" customHeight="1" spans="1:60">
      <c r="A119" s="35"/>
      <c r="B119" s="60" t="s">
        <v>177</v>
      </c>
      <c r="C119" s="65" t="s">
        <v>152</v>
      </c>
      <c r="D119" s="69"/>
      <c r="E119" s="77" t="s">
        <v>101</v>
      </c>
      <c r="F119" s="60" t="s">
        <v>178</v>
      </c>
      <c r="G119" s="60"/>
      <c r="H119" s="140" t="s">
        <v>179</v>
      </c>
      <c r="I119" s="60" t="s">
        <v>83</v>
      </c>
      <c r="J119" s="60" t="s">
        <v>84</v>
      </c>
      <c r="K119" s="60" t="s">
        <v>85</v>
      </c>
      <c r="L119" s="160" t="s">
        <v>86</v>
      </c>
      <c r="M119" s="60" t="s">
        <v>87</v>
      </c>
      <c r="N119" s="60" t="s">
        <v>39</v>
      </c>
      <c r="O119" s="60" t="s">
        <v>40</v>
      </c>
      <c r="P119" s="130" t="s">
        <v>88</v>
      </c>
      <c r="Q119" s="130" t="s">
        <v>180</v>
      </c>
      <c r="R119" s="130" t="s">
        <v>181</v>
      </c>
      <c r="S119" s="175" t="s">
        <v>182</v>
      </c>
      <c r="T119" s="176"/>
      <c r="U119" s="130"/>
      <c r="V119" s="31"/>
      <c r="AK119" s="133"/>
      <c r="AL119" s="133"/>
      <c r="AM119" s="133"/>
      <c r="AN119" s="133"/>
      <c r="AO119" s="133"/>
      <c r="AP119" s="133"/>
      <c r="AQ119" s="133"/>
      <c r="AR119" s="133"/>
      <c r="AS119" s="133"/>
      <c r="AT119" s="133"/>
      <c r="AU119" s="133"/>
      <c r="AV119" s="133"/>
      <c r="AW119" s="133"/>
      <c r="AX119" s="133"/>
      <c r="AY119" s="133"/>
      <c r="AZ119" s="133"/>
      <c r="BA119" s="133"/>
      <c r="BB119" s="133"/>
      <c r="BC119" s="133"/>
      <c r="BD119" s="133"/>
      <c r="BE119" s="133"/>
      <c r="BF119" s="133"/>
      <c r="BG119" s="133"/>
      <c r="BH119" s="133"/>
    </row>
    <row r="120" ht="31" customHeight="1" spans="1:60">
      <c r="A120" s="35"/>
      <c r="B120" s="135"/>
      <c r="C120" s="152"/>
      <c r="D120" s="154"/>
      <c r="E120" s="136"/>
      <c r="F120" s="135"/>
      <c r="G120" s="135"/>
      <c r="H120" s="146"/>
      <c r="I120" s="145"/>
      <c r="J120" s="174"/>
      <c r="K120" s="174"/>
      <c r="L120" s="157" t="str">
        <f>IF(B120&lt;&gt;"",P120,"")</f>
        <v/>
      </c>
      <c r="M120" s="157" t="str">
        <f>IF(B120&lt;&gt;"",SUM(Q120:R120)*L120,"")</f>
        <v/>
      </c>
      <c r="N120" s="31"/>
      <c r="O120" s="31"/>
      <c r="P120" s="31">
        <f>IF(I120="独立完成",1,IF(K120=1,0.6,IF(AND(J120=2,K120=2),0.4,IF(AND(J120&gt;2,K120=2),0.3,IF(AND(J120&gt;2,K120=3),0.2,IF(AND(J120&gt;2,K120&gt;3),0.1,0))))))</f>
        <v>0</v>
      </c>
      <c r="Q120" s="31">
        <f>IF(AND(C120="国家级",E120="实训项目"),30,IF(AND(C120="省级",E120="实训项目"),12,IF(AND(C120="市级",E120="实训项目"),6,IF(AND(C120="校级",E120="实训项目"),2,0))))</f>
        <v>0</v>
      </c>
      <c r="R120" s="31">
        <f>IF(AND(C120="国家级",E120="创新创业项目"),30,IF(AND(C120="省级",E120="创新创业项目"),12,IF(AND(C120="市级",E120="创新创业项目"),6,IF(AND(C120="校级",E120="创新创业项目"),2,0))))</f>
        <v>0</v>
      </c>
      <c r="S120" s="131">
        <f>IF(AND(OR(I120="独立完成",K120=1),OR(C120="国家级",C120="省级",C120="市级")),1,0)</f>
        <v>0</v>
      </c>
      <c r="T120" s="132"/>
      <c r="U120" s="31"/>
      <c r="V120" s="31"/>
      <c r="AK120" s="133"/>
      <c r="AL120" s="133"/>
      <c r="AM120" s="133"/>
      <c r="AN120" s="133"/>
      <c r="AO120" s="133"/>
      <c r="AP120" s="133"/>
      <c r="AQ120" s="133"/>
      <c r="AR120" s="133"/>
      <c r="AS120" s="133"/>
      <c r="AT120" s="133"/>
      <c r="AU120" s="133"/>
      <c r="AV120" s="133"/>
      <c r="AW120" s="133"/>
      <c r="AX120" s="133"/>
      <c r="AY120" s="133"/>
      <c r="AZ120" s="133"/>
      <c r="BA120" s="133"/>
      <c r="BB120" s="133"/>
      <c r="BC120" s="133"/>
      <c r="BD120" s="133"/>
      <c r="BE120" s="133"/>
      <c r="BF120" s="133"/>
      <c r="BG120" s="133"/>
      <c r="BH120" s="133"/>
    </row>
    <row r="121" ht="31" customHeight="1" spans="1:60">
      <c r="A121" s="35"/>
      <c r="B121" s="135"/>
      <c r="C121" s="152"/>
      <c r="D121" s="154"/>
      <c r="E121" s="136"/>
      <c r="F121" s="135"/>
      <c r="G121" s="135"/>
      <c r="H121" s="154"/>
      <c r="I121" s="145"/>
      <c r="J121" s="174"/>
      <c r="K121" s="174"/>
      <c r="L121" s="157" t="str">
        <f>IF(B121&lt;&gt;"",P121,"")</f>
        <v/>
      </c>
      <c r="M121" s="157" t="str">
        <f>IF(B121&lt;&gt;"",SUM(Q121:R121)*L121,"")</f>
        <v/>
      </c>
      <c r="N121" s="31"/>
      <c r="O121" s="31"/>
      <c r="P121" s="31">
        <f>IF(I121="独立完成",1,IF(K121=1,0.6,IF(AND(J121=2,K121=2),0.4,IF(AND(J121&gt;2,K121=2),0.3,IF(AND(J121&gt;2,K121=3),0.2,IF(AND(J121&gt;2,K121&gt;3),0.1,0))))))</f>
        <v>0</v>
      </c>
      <c r="Q121" s="31">
        <f>IF(AND(C121="国家级",E121="实训项目"),30,IF(AND(C121="省级",E121="实训项目"),12,IF(AND(C121="市级",E121="实训项目"),6,IF(AND(C121="校级",E121="实训项目"),2,0))))</f>
        <v>0</v>
      </c>
      <c r="R121" s="31">
        <f>IF(AND(C121="国家级",E121="创新创业项目"),30,IF(AND(C121="省级",E121="创新创业项目"),12,IF(AND(C121="市级",E121="创新创业项目"),6,IF(AND(C121="校级",E121="创新创业项目"),2,0))))</f>
        <v>0</v>
      </c>
      <c r="S121" s="131">
        <f>IF(AND(OR(I121="独立完成",K121=1),OR(C121="国家级",C121="省级",C121="市级")),1,0)</f>
        <v>0</v>
      </c>
      <c r="T121" s="132"/>
      <c r="U121" s="31"/>
      <c r="V121" s="31"/>
      <c r="AK121" s="133"/>
      <c r="AL121" s="133"/>
      <c r="AM121" s="133"/>
      <c r="AN121" s="133"/>
      <c r="AO121" s="133"/>
      <c r="AP121" s="133"/>
      <c r="AQ121" s="133"/>
      <c r="AR121" s="133"/>
      <c r="AS121" s="133"/>
      <c r="AT121" s="133"/>
      <c r="AU121" s="133"/>
      <c r="AV121" s="133"/>
      <c r="AW121" s="133"/>
      <c r="AX121" s="133"/>
      <c r="AY121" s="133"/>
      <c r="AZ121" s="133"/>
      <c r="BA121" s="133"/>
      <c r="BB121" s="133"/>
      <c r="BC121" s="133"/>
      <c r="BD121" s="133"/>
      <c r="BE121" s="133"/>
      <c r="BF121" s="133"/>
      <c r="BG121" s="133"/>
      <c r="BH121" s="133"/>
    </row>
    <row r="122" ht="31" customHeight="1" spans="1:60">
      <c r="A122" s="35"/>
      <c r="B122" s="135"/>
      <c r="C122" s="152"/>
      <c r="D122" s="154"/>
      <c r="E122" s="136"/>
      <c r="F122" s="135"/>
      <c r="G122" s="135"/>
      <c r="H122" s="154"/>
      <c r="I122" s="145"/>
      <c r="J122" s="174"/>
      <c r="K122" s="174"/>
      <c r="L122" s="157" t="str">
        <f>IF(B122&lt;&gt;"",P122,"")</f>
        <v/>
      </c>
      <c r="M122" s="157" t="str">
        <f>IF(B122&lt;&gt;"",SUM(Q122:R122)*L122,"")</f>
        <v/>
      </c>
      <c r="N122" s="31"/>
      <c r="O122" s="31"/>
      <c r="P122" s="31">
        <f>IF(I122="独立完成",1,IF(K122=1,0.6,IF(AND(J122=2,K122=2),0.4,IF(AND(J122&gt;2,K122=2),0.3,IF(AND(J122&gt;2,K122=3),0.2,IF(AND(J122&gt;2,K122&gt;3),0.1,0))))))</f>
        <v>0</v>
      </c>
      <c r="Q122" s="31">
        <f>IF(AND(C122="国家级",E122="实训项目"),30,IF(AND(C122="省级",E122="实训项目"),12,IF(AND(C122="市级",E122="实训项目"),6,IF(AND(C122="校级",E122="实训项目"),2,0))))</f>
        <v>0</v>
      </c>
      <c r="R122" s="31">
        <f>IF(AND(C122="国家级",E122="创新创业项目"),30,IF(AND(C122="省级",E122="创新创业项目"),12,IF(AND(C122="市级",E122="创新创业项目"),6,IF(AND(C122="校级",E122="创新创业项目"),2,0))))</f>
        <v>0</v>
      </c>
      <c r="S122" s="131">
        <f>IF(AND(OR(I122="独立完成",K122=1),OR(C122="国家级",C122="省级",C122="市级")),1,0)</f>
        <v>0</v>
      </c>
      <c r="T122" s="132"/>
      <c r="U122" s="31"/>
      <c r="V122" s="31"/>
      <c r="AK122" s="133"/>
      <c r="AL122" s="133"/>
      <c r="AM122" s="133"/>
      <c r="AN122" s="133"/>
      <c r="AO122" s="133"/>
      <c r="AP122" s="133"/>
      <c r="AQ122" s="133"/>
      <c r="AR122" s="133"/>
      <c r="AS122" s="133"/>
      <c r="AT122" s="133"/>
      <c r="AU122" s="133"/>
      <c r="AV122" s="133"/>
      <c r="AW122" s="133"/>
      <c r="AX122" s="133"/>
      <c r="AY122" s="133"/>
      <c r="AZ122" s="133"/>
      <c r="BA122" s="133"/>
      <c r="BB122" s="133"/>
      <c r="BC122" s="133"/>
      <c r="BD122" s="133"/>
      <c r="BE122" s="133"/>
      <c r="BF122" s="133"/>
      <c r="BG122" s="133"/>
      <c r="BH122" s="133"/>
    </row>
    <row r="123" ht="31" customHeight="1" spans="1:60">
      <c r="A123" s="35"/>
      <c r="B123" s="138" t="s">
        <v>57</v>
      </c>
      <c r="C123" s="139"/>
      <c r="D123" s="139"/>
      <c r="E123" s="139"/>
      <c r="F123" s="139"/>
      <c r="G123" s="139"/>
      <c r="H123" s="139"/>
      <c r="I123" s="139"/>
      <c r="J123" s="139"/>
      <c r="K123" s="139"/>
      <c r="L123" s="159"/>
      <c r="M123" s="157">
        <f>IF(M120&lt;&gt;"",SUM(M120:M122),0)</f>
        <v>0</v>
      </c>
      <c r="N123" s="160"/>
      <c r="O123" s="160"/>
      <c r="AK123" s="133"/>
      <c r="AL123" s="133"/>
      <c r="AM123" s="133"/>
      <c r="AN123" s="133"/>
      <c r="AO123" s="133"/>
      <c r="AP123" s="133"/>
      <c r="AQ123" s="133"/>
      <c r="AR123" s="133"/>
      <c r="AS123" s="133"/>
      <c r="AT123" s="133"/>
      <c r="AU123" s="133"/>
      <c r="AV123" s="133"/>
      <c r="AW123" s="133"/>
      <c r="AX123" s="133"/>
      <c r="AY123" s="133"/>
      <c r="AZ123" s="133"/>
      <c r="BA123" s="133"/>
      <c r="BB123" s="133"/>
      <c r="BC123" s="133"/>
      <c r="BD123" s="133"/>
      <c r="BE123" s="133"/>
      <c r="BF123" s="133"/>
      <c r="BG123" s="133"/>
      <c r="BH123" s="133"/>
    </row>
    <row r="124" ht="31" customHeight="1" spans="1:60">
      <c r="A124" s="35"/>
      <c r="B124" s="134" t="s">
        <v>183</v>
      </c>
      <c r="C124" s="134"/>
      <c r="D124" s="134"/>
      <c r="E124" s="134"/>
      <c r="F124" s="134"/>
      <c r="G124" s="134"/>
      <c r="H124" s="134"/>
      <c r="I124" s="134"/>
      <c r="J124" s="134"/>
      <c r="K124" s="134"/>
      <c r="L124" s="134"/>
      <c r="M124" s="134"/>
      <c r="N124" s="134"/>
      <c r="O124" s="134"/>
      <c r="AK124" s="133"/>
      <c r="AL124" s="133"/>
      <c r="AM124" s="133"/>
      <c r="AN124" s="133"/>
      <c r="AO124" s="133"/>
      <c r="AP124" s="133"/>
      <c r="AQ124" s="133"/>
      <c r="AR124" s="133"/>
      <c r="AS124" s="133"/>
      <c r="AT124" s="133"/>
      <c r="AU124" s="133"/>
      <c r="AV124" s="133"/>
      <c r="AW124" s="133"/>
      <c r="AX124" s="133"/>
      <c r="AY124" s="133"/>
      <c r="AZ124" s="133"/>
      <c r="BA124" s="133"/>
      <c r="BB124" s="133"/>
      <c r="BC124" s="133"/>
      <c r="BD124" s="133"/>
      <c r="BE124" s="133"/>
      <c r="BF124" s="133"/>
      <c r="BG124" s="133"/>
      <c r="BH124" s="133"/>
    </row>
    <row r="125" ht="31" customHeight="1" spans="1:60">
      <c r="A125" s="35"/>
      <c r="B125" s="60" t="s">
        <v>101</v>
      </c>
      <c r="C125" s="65" t="s">
        <v>152</v>
      </c>
      <c r="D125" s="69"/>
      <c r="E125" s="60" t="s">
        <v>184</v>
      </c>
      <c r="F125" s="140"/>
      <c r="G125" s="77" t="s">
        <v>185</v>
      </c>
      <c r="H125" s="127"/>
      <c r="I125" s="60" t="s">
        <v>83</v>
      </c>
      <c r="J125" s="60" t="s">
        <v>84</v>
      </c>
      <c r="K125" s="60" t="s">
        <v>85</v>
      </c>
      <c r="L125" s="160" t="s">
        <v>86</v>
      </c>
      <c r="M125" s="60" t="s">
        <v>87</v>
      </c>
      <c r="N125" s="60" t="s">
        <v>39</v>
      </c>
      <c r="O125" s="60" t="s">
        <v>40</v>
      </c>
      <c r="P125" s="130" t="s">
        <v>88</v>
      </c>
      <c r="Q125" s="130" t="s">
        <v>186</v>
      </c>
      <c r="R125" s="130" t="s">
        <v>182</v>
      </c>
      <c r="S125" s="130"/>
      <c r="T125" s="130"/>
      <c r="U125" s="130"/>
      <c r="V125" s="31"/>
      <c r="AK125" s="133"/>
      <c r="AL125" s="133"/>
      <c r="AM125" s="133"/>
      <c r="AN125" s="133"/>
      <c r="AO125" s="133"/>
      <c r="AP125" s="133"/>
      <c r="AQ125" s="133"/>
      <c r="AR125" s="133"/>
      <c r="AS125" s="133"/>
      <c r="AT125" s="133"/>
      <c r="AU125" s="133"/>
      <c r="AV125" s="133"/>
      <c r="AW125" s="133"/>
      <c r="AX125" s="133"/>
      <c r="AY125" s="133"/>
      <c r="AZ125" s="133"/>
      <c r="BA125" s="133"/>
      <c r="BB125" s="133"/>
      <c r="BC125" s="133"/>
      <c r="BD125" s="133"/>
      <c r="BE125" s="133"/>
      <c r="BF125" s="133"/>
      <c r="BG125" s="133"/>
      <c r="BH125" s="133"/>
    </row>
    <row r="126" ht="31" customHeight="1" spans="1:60">
      <c r="A126" s="35"/>
      <c r="B126" s="135"/>
      <c r="C126" s="152"/>
      <c r="D126" s="154"/>
      <c r="E126" s="141"/>
      <c r="F126" s="143"/>
      <c r="G126" s="152"/>
      <c r="H126" s="154"/>
      <c r="I126" s="145"/>
      <c r="J126" s="174"/>
      <c r="K126" s="174"/>
      <c r="L126" s="157" t="str">
        <f>IF(B126&lt;&gt;"",P126,"")</f>
        <v/>
      </c>
      <c r="M126" s="157" t="str">
        <f t="shared" ref="M126:M128" si="1">IF(B126&lt;&gt;"",SUM(Q126:R126)*L126,"")</f>
        <v/>
      </c>
      <c r="N126" s="31"/>
      <c r="O126" s="31"/>
      <c r="P126" s="31">
        <f>IF(I126="独立完成",1,IF(K126=1,0.8,IF(K126=2,0.2,IF(K126&gt;=3,0.1,0))))</f>
        <v>0</v>
      </c>
      <c r="Q126" s="31">
        <f>IF(C126="国家级",30,IF(C126="省级",12,IF(C126="市级",6,IF(C126="校级",2,0))))</f>
        <v>0</v>
      </c>
      <c r="R126" s="31">
        <f>IF(OR(I126="独立完成",K126=1),1,0)</f>
        <v>0</v>
      </c>
      <c r="S126" s="31"/>
      <c r="T126" s="31"/>
      <c r="U126" s="31"/>
      <c r="V126" s="31"/>
      <c r="AK126" s="133"/>
      <c r="AL126" s="133"/>
      <c r="AM126" s="133"/>
      <c r="AN126" s="133"/>
      <c r="AO126" s="133"/>
      <c r="AP126" s="133"/>
      <c r="AQ126" s="133"/>
      <c r="AR126" s="133"/>
      <c r="AS126" s="133"/>
      <c r="AT126" s="133"/>
      <c r="AU126" s="133"/>
      <c r="AV126" s="133"/>
      <c r="AW126" s="133"/>
      <c r="AX126" s="133"/>
      <c r="AY126" s="133"/>
      <c r="AZ126" s="133"/>
      <c r="BA126" s="133"/>
      <c r="BB126" s="133"/>
      <c r="BC126" s="133"/>
      <c r="BD126" s="133"/>
      <c r="BE126" s="133"/>
      <c r="BF126" s="133"/>
      <c r="BG126" s="133"/>
      <c r="BH126" s="133"/>
    </row>
    <row r="127" ht="31" customHeight="1" spans="1:60">
      <c r="A127" s="35"/>
      <c r="B127" s="135"/>
      <c r="C127" s="152"/>
      <c r="D127" s="154"/>
      <c r="E127" s="141"/>
      <c r="F127" s="143"/>
      <c r="G127" s="152"/>
      <c r="H127" s="154"/>
      <c r="I127" s="145"/>
      <c r="J127" s="174"/>
      <c r="K127" s="174"/>
      <c r="L127" s="157" t="str">
        <f>IF(B127&lt;&gt;"",P127,"")</f>
        <v/>
      </c>
      <c r="M127" s="157" t="str">
        <f t="shared" si="1"/>
        <v/>
      </c>
      <c r="N127" s="31"/>
      <c r="O127" s="31"/>
      <c r="P127" s="31">
        <f>IF(I127="独立完成",1,IF(K127=1,0.8,IF(K127=2,0.2,IF(K127&gt;=3,0.1,0))))</f>
        <v>0</v>
      </c>
      <c r="Q127" s="31">
        <f>IF(C127="国家级",30,IF(C127="省级",12,IF(C127="市级",6,IF(C127="校级",2,0))))</f>
        <v>0</v>
      </c>
      <c r="R127" s="31">
        <f>IF(OR(I127="独立完成",K127=1),1,0)</f>
        <v>0</v>
      </c>
      <c r="S127" s="31"/>
      <c r="T127" s="31"/>
      <c r="U127" s="31"/>
      <c r="V127" s="31"/>
      <c r="AK127" s="133"/>
      <c r="AL127" s="133"/>
      <c r="AM127" s="133"/>
      <c r="AN127" s="133"/>
      <c r="AO127" s="133"/>
      <c r="AP127" s="133"/>
      <c r="AQ127" s="133"/>
      <c r="AR127" s="133"/>
      <c r="AS127" s="133"/>
      <c r="AT127" s="133"/>
      <c r="AU127" s="133"/>
      <c r="AV127" s="133"/>
      <c r="AW127" s="133"/>
      <c r="AX127" s="133"/>
      <c r="AY127" s="133"/>
      <c r="AZ127" s="133"/>
      <c r="BA127" s="133"/>
      <c r="BB127" s="133"/>
      <c r="BC127" s="133"/>
      <c r="BD127" s="133"/>
      <c r="BE127" s="133"/>
      <c r="BF127" s="133"/>
      <c r="BG127" s="133"/>
      <c r="BH127" s="133"/>
    </row>
    <row r="128" ht="31" customHeight="1" spans="1:60">
      <c r="A128" s="35"/>
      <c r="B128" s="135"/>
      <c r="C128" s="152"/>
      <c r="D128" s="154"/>
      <c r="E128" s="141"/>
      <c r="F128" s="143"/>
      <c r="G128" s="152"/>
      <c r="H128" s="154"/>
      <c r="I128" s="145"/>
      <c r="J128" s="174"/>
      <c r="K128" s="174"/>
      <c r="L128" s="157" t="str">
        <f>IF(B128&lt;&gt;"",P128,"")</f>
        <v/>
      </c>
      <c r="M128" s="157" t="str">
        <f t="shared" si="1"/>
        <v/>
      </c>
      <c r="N128" s="31"/>
      <c r="O128" s="31"/>
      <c r="P128" s="31">
        <f>IF(I128="独立完成",1,IF(K128=1,0.8,IF(K128=2,0.2,IF(K128&gt;=3,0.1,0))))</f>
        <v>0</v>
      </c>
      <c r="Q128" s="31">
        <f>IF(C128="国家级",30,IF(C128="省级",12,IF(C128="市级",6,IF(C128="校级",2,0))))</f>
        <v>0</v>
      </c>
      <c r="R128" s="31">
        <f>IF(OR(I128="独立完成",K128=1),1,0)</f>
        <v>0</v>
      </c>
      <c r="S128" s="31"/>
      <c r="T128" s="31"/>
      <c r="U128" s="31"/>
      <c r="V128" s="31"/>
      <c r="AK128" s="133"/>
      <c r="AL128" s="133"/>
      <c r="AM128" s="133"/>
      <c r="AN128" s="133"/>
      <c r="AO128" s="133"/>
      <c r="AP128" s="133"/>
      <c r="AQ128" s="133"/>
      <c r="AR128" s="133"/>
      <c r="AS128" s="133"/>
      <c r="AT128" s="133"/>
      <c r="AU128" s="133"/>
      <c r="AV128" s="133"/>
      <c r="AW128" s="133"/>
      <c r="AX128" s="133"/>
      <c r="AY128" s="133"/>
      <c r="AZ128" s="133"/>
      <c r="BA128" s="133"/>
      <c r="BB128" s="133"/>
      <c r="BC128" s="133"/>
      <c r="BD128" s="133"/>
      <c r="BE128" s="133"/>
      <c r="BF128" s="133"/>
      <c r="BG128" s="133"/>
      <c r="BH128" s="133"/>
    </row>
    <row r="129" ht="31" customHeight="1" spans="1:60">
      <c r="A129" s="35"/>
      <c r="B129" s="138" t="s">
        <v>57</v>
      </c>
      <c r="C129" s="139"/>
      <c r="D129" s="139"/>
      <c r="E129" s="139"/>
      <c r="F129" s="139"/>
      <c r="G129" s="139"/>
      <c r="H129" s="139"/>
      <c r="I129" s="139"/>
      <c r="J129" s="139"/>
      <c r="K129" s="139"/>
      <c r="L129" s="159"/>
      <c r="M129" s="157">
        <f>IF(M126&lt;&gt;"",SUM(M126:M128),0)</f>
        <v>0</v>
      </c>
      <c r="N129" s="160"/>
      <c r="O129" s="160"/>
      <c r="AK129" s="133"/>
      <c r="AL129" s="133"/>
      <c r="AM129" s="133"/>
      <c r="AN129" s="133"/>
      <c r="AO129" s="133"/>
      <c r="AP129" s="133"/>
      <c r="AQ129" s="133"/>
      <c r="AR129" s="133"/>
      <c r="AS129" s="133"/>
      <c r="AT129" s="133"/>
      <c r="AU129" s="133"/>
      <c r="AV129" s="133"/>
      <c r="AW129" s="133"/>
      <c r="AX129" s="133"/>
      <c r="AY129" s="133"/>
      <c r="AZ129" s="133"/>
      <c r="BA129" s="133"/>
      <c r="BB129" s="133"/>
      <c r="BC129" s="133"/>
      <c r="BD129" s="133"/>
      <c r="BE129" s="133"/>
      <c r="BF129" s="133"/>
      <c r="BG129" s="133"/>
      <c r="BH129" s="133"/>
    </row>
    <row r="130" ht="31" customHeight="1" spans="1:60">
      <c r="A130" s="35"/>
      <c r="B130" s="134" t="s">
        <v>187</v>
      </c>
      <c r="C130" s="134"/>
      <c r="D130" s="134"/>
      <c r="E130" s="134"/>
      <c r="F130" s="134"/>
      <c r="G130" s="134"/>
      <c r="H130" s="134"/>
      <c r="I130" s="134"/>
      <c r="J130" s="134"/>
      <c r="K130" s="134"/>
      <c r="L130" s="134"/>
      <c r="M130" s="134"/>
      <c r="N130" s="134"/>
      <c r="O130" s="134"/>
      <c r="AK130" s="133"/>
      <c r="AL130" s="133"/>
      <c r="AM130" s="133"/>
      <c r="AN130" s="133"/>
      <c r="AO130" s="133"/>
      <c r="AP130" s="133"/>
      <c r="AQ130" s="133"/>
      <c r="AR130" s="133"/>
      <c r="AS130" s="133"/>
      <c r="AT130" s="133"/>
      <c r="AU130" s="133"/>
      <c r="AV130" s="133"/>
      <c r="AW130" s="133"/>
      <c r="AX130" s="133"/>
      <c r="AY130" s="133"/>
      <c r="AZ130" s="133"/>
      <c r="BA130" s="133"/>
      <c r="BB130" s="133"/>
      <c r="BC130" s="133"/>
      <c r="BD130" s="133"/>
      <c r="BE130" s="133"/>
      <c r="BF130" s="133"/>
      <c r="BG130" s="133"/>
      <c r="BH130" s="133"/>
    </row>
    <row r="131" ht="31" customHeight="1" spans="1:60">
      <c r="A131" s="35"/>
      <c r="B131" s="92" t="s">
        <v>188</v>
      </c>
      <c r="C131" s="92" t="s">
        <v>124</v>
      </c>
      <c r="D131" s="179"/>
      <c r="E131" s="179"/>
      <c r="F131" s="180"/>
      <c r="G131" s="101" t="s">
        <v>189</v>
      </c>
      <c r="H131" s="181"/>
      <c r="I131" s="60" t="s">
        <v>83</v>
      </c>
      <c r="J131" s="60" t="s">
        <v>84</v>
      </c>
      <c r="K131" s="60" t="s">
        <v>85</v>
      </c>
      <c r="L131" s="60" t="s">
        <v>86</v>
      </c>
      <c r="M131" s="60" t="s">
        <v>87</v>
      </c>
      <c r="N131" s="60" t="s">
        <v>39</v>
      </c>
      <c r="O131" s="60" t="s">
        <v>40</v>
      </c>
      <c r="P131" s="31" t="s">
        <v>88</v>
      </c>
      <c r="Q131" s="164" t="s">
        <v>190</v>
      </c>
      <c r="R131" s="130" t="s">
        <v>191</v>
      </c>
      <c r="S131" s="120" t="s">
        <v>192</v>
      </c>
      <c r="T131" s="120" t="s">
        <v>193</v>
      </c>
      <c r="U131" s="120" t="s">
        <v>194</v>
      </c>
      <c r="V131" s="120" t="s">
        <v>195</v>
      </c>
      <c r="W131" s="120" t="s">
        <v>196</v>
      </c>
      <c r="AK131" s="133"/>
      <c r="AL131" s="133"/>
      <c r="AM131" s="133"/>
      <c r="AN131" s="133"/>
      <c r="AO131" s="133"/>
      <c r="AP131" s="133"/>
      <c r="AQ131" s="133"/>
      <c r="AR131" s="133"/>
      <c r="AS131" s="133"/>
      <c r="AT131" s="133"/>
      <c r="AU131" s="133"/>
      <c r="AV131" s="133"/>
      <c r="AW131" s="133"/>
      <c r="AX131" s="133"/>
      <c r="AY131" s="133"/>
      <c r="AZ131" s="133"/>
      <c r="BA131" s="133"/>
      <c r="BB131" s="133"/>
      <c r="BC131" s="133"/>
      <c r="BD131" s="133"/>
      <c r="BE131" s="133"/>
      <c r="BF131" s="133"/>
      <c r="BG131" s="133"/>
      <c r="BH131" s="133"/>
    </row>
    <row r="132" ht="31" customHeight="1" spans="1:60">
      <c r="A132" s="35"/>
      <c r="B132" s="135"/>
      <c r="C132" s="136"/>
      <c r="D132" s="136"/>
      <c r="E132" s="136"/>
      <c r="F132" s="136"/>
      <c r="G132" s="136"/>
      <c r="H132" s="136"/>
      <c r="I132" s="136"/>
      <c r="J132" s="169"/>
      <c r="K132" s="156"/>
      <c r="L132" s="157" t="str">
        <f>IF(B132&lt;&gt;"",P132,"")</f>
        <v/>
      </c>
      <c r="M132" s="157" t="str">
        <f>IF(B132&lt;&gt;"",L132*SUM(R132:U132),"")</f>
        <v/>
      </c>
      <c r="N132" s="158"/>
      <c r="O132" s="166"/>
      <c r="P132" s="31">
        <f>IF(I132="独立完成",1,IF(K132=1,0.8,IF(K132=2,0.2,IF(K132&gt;2,0.1,0))))</f>
        <v>0</v>
      </c>
      <c r="Q132" s="164">
        <f>IF(B132="外观设计专利",2,IF(B132="软件著作权登记",3,IF(B132="实用新型专利",6,IF(B132="发明专利",25,0))))</f>
        <v>0</v>
      </c>
      <c r="R132" s="31">
        <f>IF(B132="外观设计专利",2,0)</f>
        <v>0</v>
      </c>
      <c r="S132" s="31">
        <f>IF(B132="软件著作权登记",3,0)</f>
        <v>0</v>
      </c>
      <c r="T132" s="31">
        <f>IF(B132="实用新型专利",6,0)</f>
        <v>0</v>
      </c>
      <c r="U132" s="31">
        <f>IF(B132="发明专利",25,0)</f>
        <v>0</v>
      </c>
      <c r="V132" s="31">
        <f>IF(AND(B132="发明专利",OR(I132="独立完成",K132=1)),1,0)</f>
        <v>0</v>
      </c>
      <c r="W132" s="31">
        <f>IF(AND(B132="实用新型专利",OR(I132="独立完成",K132=1)),1,0)</f>
        <v>0</v>
      </c>
      <c r="AK132" s="133"/>
      <c r="AL132" s="133"/>
      <c r="AM132" s="133"/>
      <c r="AN132" s="133"/>
      <c r="AO132" s="133"/>
      <c r="AP132" s="133"/>
      <c r="AQ132" s="133"/>
      <c r="AR132" s="133"/>
      <c r="AS132" s="133"/>
      <c r="AT132" s="133"/>
      <c r="AU132" s="133"/>
      <c r="AV132" s="133"/>
      <c r="AW132" s="133"/>
      <c r="AX132" s="133"/>
      <c r="AY132" s="133"/>
      <c r="AZ132" s="133"/>
      <c r="BA132" s="133"/>
      <c r="BB132" s="133"/>
      <c r="BC132" s="133"/>
      <c r="BD132" s="133"/>
      <c r="BE132" s="133"/>
      <c r="BF132" s="133"/>
      <c r="BG132" s="133"/>
      <c r="BH132" s="133"/>
    </row>
    <row r="133" ht="31" customHeight="1" spans="1:60">
      <c r="A133" s="35"/>
      <c r="B133" s="135"/>
      <c r="C133" s="136"/>
      <c r="D133" s="136"/>
      <c r="E133" s="136"/>
      <c r="F133" s="136"/>
      <c r="G133" s="136"/>
      <c r="H133" s="136"/>
      <c r="I133" s="136"/>
      <c r="J133" s="169"/>
      <c r="K133" s="156"/>
      <c r="L133" s="157" t="str">
        <f>IF(B133&lt;&gt;"",P133,"")</f>
        <v/>
      </c>
      <c r="M133" s="157" t="str">
        <f>IF(B133&lt;&gt;"",L133*SUM(R133:U133),"")</f>
        <v/>
      </c>
      <c r="N133" s="158"/>
      <c r="O133" s="166"/>
      <c r="P133" s="31">
        <f>IF(I133="独立完成",1,IF(K133=1,0.8,IF(K133=2,0.2,IF(K133&gt;2,0.1,0))))</f>
        <v>0</v>
      </c>
      <c r="Q133" s="164">
        <f>IF(B133="外观设计专利",2,IF(B133="软件著作权登记",3,IF(B133="实用新型专利",6,IF(B133="发明专利",25,0))))</f>
        <v>0</v>
      </c>
      <c r="R133" s="31">
        <f>IF(B133="外观设计专利",2,0)</f>
        <v>0</v>
      </c>
      <c r="S133" s="31">
        <f>IF(B133="软件著作权登记",3,0)</f>
        <v>0</v>
      </c>
      <c r="T133" s="31">
        <f>IF(B133="实用新型专利",6,0)</f>
        <v>0</v>
      </c>
      <c r="U133" s="31">
        <f>IF(B133="发明专利",25,0)</f>
        <v>0</v>
      </c>
      <c r="V133" s="31">
        <f>IF(AND(B133="发明专利",OR(I133="独立完成",K133=1)),1,0)</f>
        <v>0</v>
      </c>
      <c r="W133" s="31">
        <f>IF(AND(B133="实用新型专利",OR(I133="独立完成",K133=1)),1,0)</f>
        <v>0</v>
      </c>
      <c r="AK133" s="133"/>
      <c r="AL133" s="133"/>
      <c r="AM133" s="133"/>
      <c r="AN133" s="133"/>
      <c r="AO133" s="133"/>
      <c r="AP133" s="133"/>
      <c r="AQ133" s="133"/>
      <c r="AR133" s="133"/>
      <c r="AS133" s="133"/>
      <c r="AT133" s="133"/>
      <c r="AU133" s="133"/>
      <c r="AV133" s="133"/>
      <c r="AW133" s="133"/>
      <c r="AX133" s="133"/>
      <c r="AY133" s="133"/>
      <c r="AZ133" s="133"/>
      <c r="BA133" s="133"/>
      <c r="BB133" s="133"/>
      <c r="BC133" s="133"/>
      <c r="BD133" s="133"/>
      <c r="BE133" s="133"/>
      <c r="BF133" s="133"/>
      <c r="BG133" s="133"/>
      <c r="BH133" s="133"/>
    </row>
    <row r="134" ht="31" customHeight="1" spans="1:60">
      <c r="A134" s="35"/>
      <c r="B134" s="135"/>
      <c r="C134" s="136"/>
      <c r="D134" s="136"/>
      <c r="E134" s="136"/>
      <c r="F134" s="136"/>
      <c r="G134" s="136"/>
      <c r="H134" s="136"/>
      <c r="I134" s="136"/>
      <c r="J134" s="169"/>
      <c r="K134" s="156"/>
      <c r="L134" s="157" t="str">
        <f>IF(B134&lt;&gt;"",P134,"")</f>
        <v/>
      </c>
      <c r="M134" s="157" t="str">
        <f>IF(B134&lt;&gt;"",L134*SUM(R134:U134),"")</f>
        <v/>
      </c>
      <c r="N134" s="158"/>
      <c r="O134" s="166"/>
      <c r="P134" s="31">
        <f>IF(I134="独立完成",1,IF(K134=1,0.8,IF(K134=2,0.2,IF(K134&gt;2,0.1,0))))</f>
        <v>0</v>
      </c>
      <c r="Q134" s="164">
        <f>IF(B134="外观设计专利",2,IF(B134="软件著作权登记",3,IF(B134="实用新型专利",6,IF(B134="发明专利",25,0))))</f>
        <v>0</v>
      </c>
      <c r="R134" s="31">
        <f>IF(B134="外观设计专利",2,0)</f>
        <v>0</v>
      </c>
      <c r="S134" s="31">
        <f>IF(B134="软件著作权登记",3,0)</f>
        <v>0</v>
      </c>
      <c r="T134" s="31">
        <f>IF(B134="实用新型专利",6,0)</f>
        <v>0</v>
      </c>
      <c r="U134" s="31">
        <f>IF(B134="发明专利",25,0)</f>
        <v>0</v>
      </c>
      <c r="V134" s="31">
        <f>IF(AND(B134="发明专利",OR(I134="独立完成",K134=1)),1,0)</f>
        <v>0</v>
      </c>
      <c r="W134" s="31">
        <f>IF(AND(B134="实用新型专利",OR(I134="独立完成",K134=1)),1,0)</f>
        <v>0</v>
      </c>
      <c r="AK134" s="133"/>
      <c r="AL134" s="133"/>
      <c r="AM134" s="133"/>
      <c r="AN134" s="133"/>
      <c r="AO134" s="133"/>
      <c r="AP134" s="133"/>
      <c r="AQ134" s="133"/>
      <c r="AR134" s="133"/>
      <c r="AS134" s="133"/>
      <c r="AT134" s="133"/>
      <c r="AU134" s="133"/>
      <c r="AV134" s="133"/>
      <c r="AW134" s="133"/>
      <c r="AX134" s="133"/>
      <c r="AY134" s="133"/>
      <c r="AZ134" s="133"/>
      <c r="BA134" s="133"/>
      <c r="BB134" s="133"/>
      <c r="BC134" s="133"/>
      <c r="BD134" s="133"/>
      <c r="BE134" s="133"/>
      <c r="BF134" s="133"/>
      <c r="BG134" s="133"/>
      <c r="BH134" s="133"/>
    </row>
    <row r="135" ht="31" customHeight="1" spans="1:60">
      <c r="A135" s="35"/>
      <c r="B135" s="138" t="s">
        <v>57</v>
      </c>
      <c r="C135" s="139"/>
      <c r="D135" s="139"/>
      <c r="E135" s="139"/>
      <c r="F135" s="139"/>
      <c r="G135" s="139"/>
      <c r="H135" s="139"/>
      <c r="I135" s="139"/>
      <c r="J135" s="139"/>
      <c r="K135" s="139"/>
      <c r="L135" s="159"/>
      <c r="M135" s="157">
        <f>IF(M132&lt;&gt;"",SUM(M132:M134),0)</f>
        <v>0</v>
      </c>
      <c r="N135" s="160"/>
      <c r="O135" s="160"/>
      <c r="AK135" s="133"/>
      <c r="AL135" s="133"/>
      <c r="AM135" s="133"/>
      <c r="AN135" s="133"/>
      <c r="AO135" s="133"/>
      <c r="AP135" s="133"/>
      <c r="AQ135" s="133"/>
      <c r="AR135" s="133"/>
      <c r="AS135" s="133"/>
      <c r="AT135" s="133"/>
      <c r="AU135" s="133"/>
      <c r="AV135" s="133"/>
      <c r="AW135" s="133"/>
      <c r="AX135" s="133"/>
      <c r="AY135" s="133"/>
      <c r="AZ135" s="133"/>
      <c r="BA135" s="133"/>
      <c r="BB135" s="133"/>
      <c r="BC135" s="133"/>
      <c r="BD135" s="133"/>
      <c r="BE135" s="133"/>
      <c r="BF135" s="133"/>
      <c r="BG135" s="133"/>
      <c r="BH135" s="133"/>
    </row>
    <row r="136" ht="31" customHeight="1" spans="1:60">
      <c r="A136" s="35"/>
      <c r="B136" s="134" t="s">
        <v>197</v>
      </c>
      <c r="C136" s="134"/>
      <c r="D136" s="134"/>
      <c r="E136" s="134"/>
      <c r="F136" s="134"/>
      <c r="G136" s="134"/>
      <c r="H136" s="134"/>
      <c r="I136" s="134"/>
      <c r="J136" s="134"/>
      <c r="K136" s="134"/>
      <c r="L136" s="134"/>
      <c r="M136" s="134"/>
      <c r="N136" s="134"/>
      <c r="O136" s="134"/>
      <c r="AK136" s="133"/>
      <c r="AL136" s="133"/>
      <c r="AM136" s="133"/>
      <c r="AN136" s="133"/>
      <c r="AO136" s="133"/>
      <c r="AP136" s="133"/>
      <c r="AQ136" s="133"/>
      <c r="AR136" s="133"/>
      <c r="AS136" s="133"/>
      <c r="AT136" s="133"/>
      <c r="AU136" s="133"/>
      <c r="AV136" s="133"/>
      <c r="AW136" s="133"/>
      <c r="AX136" s="133"/>
      <c r="AY136" s="133"/>
      <c r="AZ136" s="133"/>
      <c r="BA136" s="133"/>
      <c r="BB136" s="133"/>
      <c r="BC136" s="133"/>
      <c r="BD136" s="133"/>
      <c r="BE136" s="133"/>
      <c r="BF136" s="133"/>
      <c r="BG136" s="133"/>
      <c r="BH136" s="133"/>
    </row>
    <row r="137" ht="31" customHeight="1" spans="1:60">
      <c r="A137" s="35"/>
      <c r="B137" s="60" t="s">
        <v>139</v>
      </c>
      <c r="C137" s="60" t="s">
        <v>173</v>
      </c>
      <c r="D137" s="65" t="s">
        <v>124</v>
      </c>
      <c r="E137" s="78"/>
      <c r="F137" s="79"/>
      <c r="G137" s="60" t="s">
        <v>153</v>
      </c>
      <c r="H137" s="60" t="s">
        <v>174</v>
      </c>
      <c r="I137" s="140" t="s">
        <v>83</v>
      </c>
      <c r="J137" s="60" t="s">
        <v>84</v>
      </c>
      <c r="K137" s="60" t="s">
        <v>85</v>
      </c>
      <c r="L137" s="60" t="s">
        <v>86</v>
      </c>
      <c r="M137" s="60" t="s">
        <v>87</v>
      </c>
      <c r="N137" s="60" t="s">
        <v>39</v>
      </c>
      <c r="O137" s="60" t="s">
        <v>40</v>
      </c>
      <c r="P137" s="130" t="s">
        <v>143</v>
      </c>
      <c r="Q137" s="130" t="s">
        <v>141</v>
      </c>
      <c r="R137" s="130" t="s">
        <v>142</v>
      </c>
      <c r="S137" s="130" t="s">
        <v>198</v>
      </c>
      <c r="T137" s="130" t="s">
        <v>145</v>
      </c>
      <c r="U137" s="130" t="s">
        <v>144</v>
      </c>
      <c r="V137" s="130" t="s">
        <v>88</v>
      </c>
      <c r="W137" s="130" t="s">
        <v>182</v>
      </c>
      <c r="X137" s="31"/>
      <c r="Y137" s="31"/>
      <c r="Z137" s="31"/>
      <c r="AA137" s="31"/>
      <c r="AB137" s="31"/>
      <c r="AC137" s="31"/>
      <c r="AK137" s="133"/>
      <c r="AL137" s="133"/>
      <c r="AM137" s="133"/>
      <c r="AN137" s="133"/>
      <c r="AO137" s="133"/>
      <c r="AP137" s="133"/>
      <c r="AQ137" s="133"/>
      <c r="AR137" s="133"/>
      <c r="AS137" s="133"/>
      <c r="AT137" s="133"/>
      <c r="AU137" s="133"/>
      <c r="AV137" s="133"/>
      <c r="AW137" s="133"/>
      <c r="AX137" s="133"/>
      <c r="AY137" s="133"/>
      <c r="AZ137" s="133"/>
      <c r="BA137" s="133"/>
      <c r="BB137" s="133"/>
      <c r="BC137" s="133"/>
      <c r="BD137" s="133"/>
      <c r="BE137" s="133"/>
      <c r="BF137" s="133"/>
      <c r="BG137" s="133"/>
      <c r="BH137" s="133"/>
    </row>
    <row r="138" ht="31" customHeight="1" spans="1:60">
      <c r="A138" s="35"/>
      <c r="B138" s="135"/>
      <c r="C138" s="135"/>
      <c r="D138" s="182"/>
      <c r="E138" s="153"/>
      <c r="F138" s="154"/>
      <c r="G138" s="173"/>
      <c r="H138" s="173"/>
      <c r="I138" s="136"/>
      <c r="J138" s="156"/>
      <c r="K138" s="156"/>
      <c r="L138" s="170" t="str">
        <f>IF(B138&lt;&gt;"",V138,"")</f>
        <v/>
      </c>
      <c r="M138" s="170" t="str">
        <f>IF(B138&lt;&gt;"",SUM(P138:U138)*L138,"")</f>
        <v/>
      </c>
      <c r="N138" s="158"/>
      <c r="O138" s="158"/>
      <c r="P138" s="31">
        <f>IF(AND(B138="国家级",OR(C138="一等奖",C138="金奖")),25,IF(AND(B138="国家级",OR(C138="二等奖",C138="银奖")),20,IF(AND(B138="国家级",OR(C138="三等奖",C138="铜奖",C138="无等级")),15,0)))</f>
        <v>0</v>
      </c>
      <c r="Q138" s="31">
        <f>IF(AND(B138="市级",OR(C138="一等奖",C138="金奖")),6,IF(AND(B138="市级",OR(C138="二等奖",C138="银奖")),4,IF(AND(B138="市级",OR(C138="三等奖",C138="铜奖",C138="无等级")),2,0)))</f>
        <v>0</v>
      </c>
      <c r="R138" s="31">
        <f>IF(AND(B138="校级",OR(C138="一等奖",C138="金奖")),3,IF(AND(B138="校级",OR(C138="二等奖",C138="银奖")),2,IF(AND(B138="校级",OR(C138="三等奖",C138="铜奖",C138="无等级")),1,0)))</f>
        <v>0</v>
      </c>
      <c r="S138" s="31">
        <f>IF(AND(B138="世界技能大赛",OR(C138="一等奖",C138="金奖")),50,IF(AND(B138="世界技能大赛",OR(C138="二等奖",C138="银奖")),40,IF(AND(B138="世界技能大赛",OR(C138="三等奖",C138="铜奖",C138="无等级")),30,0)))</f>
        <v>0</v>
      </c>
      <c r="T138" s="31">
        <f>IF(AND(B138="省级",OR(C138="一等奖",C138="金奖")),12,IF(AND(B138="省级",OR(C138="二等奖",C138="银奖")),9,IF(AND(B138="省级",OR(C138="三等奖",C138="铜奖",C138="无等级")),6,0)))</f>
        <v>0</v>
      </c>
      <c r="U138" s="178">
        <f>IF(AND(B138="国家开放大学",OR(C138="一等奖",C138="金奖")),12,IF(AND(B138="国家开放大学",OR(C138="二等奖",C138="银奖")),9,IF(AND(B138="国家开放大学",OR(C138="三等奖",C138="铜奖",C138="无等级")),6,0)))</f>
        <v>0</v>
      </c>
      <c r="V138" s="158">
        <f>IF(I138="独立完成",1,IF(K138=1,0.7,IF(K138=2,0.3,IF(K138&gt;2,0.1,0))))</f>
        <v>0</v>
      </c>
      <c r="W138" s="178">
        <f>IF(OR(I138="独立完成",AND(K138&lt;&gt;"",K138&lt;4)),IF(OR(B138="世界技能大赛",B138="国家级",B138="省级",B138="国家开放大学",B138="市级"),1,0),0)</f>
        <v>0</v>
      </c>
      <c r="X138" s="158"/>
      <c r="Y138" s="158"/>
      <c r="Z138" s="158"/>
      <c r="AA138" s="158"/>
      <c r="AB138" s="158"/>
      <c r="AC138" s="158"/>
      <c r="AD138" s="158"/>
      <c r="AE138" s="158"/>
      <c r="AK138" s="133"/>
      <c r="AL138" s="133"/>
      <c r="AM138" s="133"/>
      <c r="AN138" s="133"/>
      <c r="AO138" s="133"/>
      <c r="AP138" s="133"/>
      <c r="AQ138" s="133"/>
      <c r="AR138" s="133"/>
      <c r="AS138" s="133"/>
      <c r="AT138" s="133"/>
      <c r="AU138" s="133"/>
      <c r="AV138" s="133"/>
      <c r="AW138" s="133"/>
      <c r="AX138" s="133"/>
      <c r="AY138" s="133"/>
      <c r="AZ138" s="133"/>
      <c r="BA138" s="133"/>
      <c r="BB138" s="133"/>
      <c r="BC138" s="133"/>
      <c r="BD138" s="133"/>
      <c r="BE138" s="133"/>
      <c r="BF138" s="133"/>
      <c r="BG138" s="133"/>
      <c r="BH138" s="133"/>
    </row>
    <row r="139" ht="31" customHeight="1" spans="1:60">
      <c r="A139" s="35"/>
      <c r="B139" s="135"/>
      <c r="C139" s="135"/>
      <c r="D139" s="182"/>
      <c r="E139" s="153"/>
      <c r="F139" s="154"/>
      <c r="G139" s="173"/>
      <c r="H139" s="173"/>
      <c r="I139" s="136"/>
      <c r="J139" s="156"/>
      <c r="K139" s="156"/>
      <c r="L139" s="170" t="str">
        <f>IF(B139&lt;&gt;"",V139,"")</f>
        <v/>
      </c>
      <c r="M139" s="170" t="str">
        <f>IF(B139&lt;&gt;"",SUM(P139:U139)*L139,"")</f>
        <v/>
      </c>
      <c r="N139" s="158"/>
      <c r="O139" s="158"/>
      <c r="P139" s="31">
        <f>IF(AND(B139="国家级",OR(C139="一等奖",C139="金奖")),25,IF(AND(B139="国家级",OR(C139="二等奖",C139="银奖")),20,IF(AND(B139="国家级",OR(C139="三等奖",C139="铜奖",C139="无等级")),15,0)))</f>
        <v>0</v>
      </c>
      <c r="Q139" s="31">
        <f>IF(AND(B139="市级",OR(C139="一等奖",C139="金奖")),6,IF(AND(B139="市级",OR(C139="二等奖",C139="银奖")),4,IF(AND(B139="市级",OR(C139="三等奖",C139="铜奖",C139="无等级")),2,0)))</f>
        <v>0</v>
      </c>
      <c r="R139" s="31">
        <f>IF(AND(B139="校级",OR(C139="一等奖",C139="金奖")),3,IF(AND(B139="校级",OR(C139="二等奖",C139="银奖")),2,IF(AND(B139="校级",OR(C139="三等奖",C139="铜奖",C139="无等级")),1,0)))</f>
        <v>0</v>
      </c>
      <c r="S139" s="31">
        <f>IF(AND(B139="世界技能大赛",OR(C139="一等奖",C139="金奖")),50,IF(AND(B139="世界技能大赛",OR(C139="二等奖",C139="银奖")),40,IF(AND(B139="世界技能大赛",OR(C139="三等奖",C139="铜奖",C139="无等级")),30,0)))</f>
        <v>0</v>
      </c>
      <c r="T139" s="31">
        <f>IF(AND(B139="省级",OR(C139="一等奖",C139="金奖")),12,IF(AND(B139="省级",OR(C139="二等奖",C139="银奖")),9,IF(AND(B139="省级",OR(C139="三等奖",C139="铜奖",C139="无等级")),6,0)))</f>
        <v>0</v>
      </c>
      <c r="U139" s="178">
        <f>IF(AND(B139="国家开放大学",OR(C139="一等奖",C139="金奖")),12,IF(AND(B139="国家开放大学",OR(C139="二等奖",C139="银奖")),9,IF(AND(B139="国家开放大学",OR(C139="三等奖",C139="铜奖",C139="无等级")),6,0)))</f>
        <v>0</v>
      </c>
      <c r="V139" s="158">
        <f>IF(I139="独立完成",1,IF(K139=1,0.7,IF(K139=2,0.3,IF(K139&gt;2,0.1,0))))</f>
        <v>0</v>
      </c>
      <c r="W139" s="178">
        <f>IF(OR(I139="独立完成",AND(K139&lt;&gt;"",K139&lt;4)),IF(OR(B139="世界技能大赛",B139="国家级",B139="省级",B139="国家开放大学",B139="市级"),1,0),0)</f>
        <v>0</v>
      </c>
      <c r="X139" s="158"/>
      <c r="Y139" s="158"/>
      <c r="Z139" s="158"/>
      <c r="AA139" s="158"/>
      <c r="AB139" s="158"/>
      <c r="AC139" s="158"/>
      <c r="AD139" s="158"/>
      <c r="AE139" s="158"/>
      <c r="AK139" s="133"/>
      <c r="AL139" s="133"/>
      <c r="AM139" s="133"/>
      <c r="AN139" s="133"/>
      <c r="AO139" s="133"/>
      <c r="AP139" s="133"/>
      <c r="AQ139" s="133"/>
      <c r="AR139" s="133"/>
      <c r="AS139" s="133"/>
      <c r="AT139" s="133"/>
      <c r="AU139" s="133"/>
      <c r="AV139" s="133"/>
      <c r="AW139" s="133"/>
      <c r="AX139" s="133"/>
      <c r="AY139" s="133"/>
      <c r="AZ139" s="133"/>
      <c r="BA139" s="133"/>
      <c r="BB139" s="133"/>
      <c r="BC139" s="133"/>
      <c r="BD139" s="133"/>
      <c r="BE139" s="133"/>
      <c r="BF139" s="133"/>
      <c r="BG139" s="133"/>
      <c r="BH139" s="133"/>
    </row>
    <row r="140" ht="31" customHeight="1" spans="1:60">
      <c r="A140" s="35"/>
      <c r="B140" s="135"/>
      <c r="C140" s="135"/>
      <c r="D140" s="182"/>
      <c r="E140" s="153"/>
      <c r="F140" s="154"/>
      <c r="G140" s="173"/>
      <c r="H140" s="173"/>
      <c r="I140" s="136"/>
      <c r="J140" s="156"/>
      <c r="K140" s="156"/>
      <c r="L140" s="170" t="str">
        <f>IF(B140&lt;&gt;"",V140,"")</f>
        <v/>
      </c>
      <c r="M140" s="170" t="str">
        <f>IF(B140&lt;&gt;"",SUM(P140:U140)*L140,"")</f>
        <v/>
      </c>
      <c r="N140" s="158"/>
      <c r="O140" s="158"/>
      <c r="P140" s="31">
        <f>IF(AND(B140="国家级",OR(C140="一等奖",C140="金奖")),25,IF(AND(B140="国家级",OR(C140="二等奖",C140="银奖")),20,IF(AND(B140="国家级",OR(C140="三等奖",C140="铜奖",C140="无等级")),15,0)))</f>
        <v>0</v>
      </c>
      <c r="Q140" s="31">
        <f>IF(AND(B140="市级",OR(C140="一等奖",C140="金奖")),6,IF(AND(B140="市级",OR(C140="二等奖",C140="银奖")),4,IF(AND(B140="市级",OR(C140="三等奖",C140="铜奖",C140="无等级")),2,0)))</f>
        <v>0</v>
      </c>
      <c r="R140" s="31">
        <f>IF(AND(B140="校级",OR(C140="一等奖",C140="金奖")),3,IF(AND(B140="校级",OR(C140="二等奖",C140="银奖")),2,IF(AND(B140="校级",OR(C140="三等奖",C140="铜奖",C140="无等级")),1,0)))</f>
        <v>0</v>
      </c>
      <c r="S140" s="31">
        <f>IF(AND(B140="世界技能大赛",OR(C140="一等奖",C140="金奖")),50,IF(AND(B140="世界技能大赛",OR(C140="二等奖",C140="银奖")),40,IF(AND(B140="世界技能大赛",OR(C140="三等奖",C140="铜奖",C140="无等级")),30,0)))</f>
        <v>0</v>
      </c>
      <c r="T140" s="31">
        <f>IF(AND(B140="省级",OR(C140="一等奖",C140="金奖")),12,IF(AND(B140="省级",OR(C140="二等奖",C140="银奖")),9,IF(AND(B140="省级",OR(C140="三等奖",C140="铜奖",C140="无等级")),6,0)))</f>
        <v>0</v>
      </c>
      <c r="U140" s="178">
        <f>IF(AND(B140="国家开放大学",OR(C140="一等奖",C140="金奖")),12,IF(AND(B140="国家开放大学",OR(C140="二等奖",C140="银奖")),9,IF(AND(B140="国家开放大学",OR(C140="三等奖",C140="铜奖",C140="无等级")),6,0)))</f>
        <v>0</v>
      </c>
      <c r="V140" s="158">
        <f>IF(I140="独立完成",1,IF(K140=1,0.7,IF(K140=2,0.3,IF(K140&gt;2,0.1,0))))</f>
        <v>0</v>
      </c>
      <c r="W140" s="178">
        <f>IF(OR(I140="独立完成",AND(K140&lt;&gt;"",K140&lt;4)),IF(OR(B140="世界技能大赛",B140="国家级",B140="省级",B140="国家开放大学",B140="市级"),1,0),0)</f>
        <v>0</v>
      </c>
      <c r="X140" s="158"/>
      <c r="Y140" s="158"/>
      <c r="Z140" s="158"/>
      <c r="AA140" s="158"/>
      <c r="AB140" s="158"/>
      <c r="AC140" s="158"/>
      <c r="AD140" s="158"/>
      <c r="AE140" s="158"/>
      <c r="AK140" s="133"/>
      <c r="AL140" s="133"/>
      <c r="AM140" s="133"/>
      <c r="AN140" s="133"/>
      <c r="AO140" s="133"/>
      <c r="AP140" s="133"/>
      <c r="AQ140" s="133"/>
      <c r="AR140" s="133"/>
      <c r="AS140" s="133"/>
      <c r="AT140" s="133"/>
      <c r="AU140" s="133"/>
      <c r="AV140" s="133"/>
      <c r="AW140" s="133"/>
      <c r="AX140" s="133"/>
      <c r="AY140" s="133"/>
      <c r="AZ140" s="133"/>
      <c r="BA140" s="133"/>
      <c r="BB140" s="133"/>
      <c r="BC140" s="133"/>
      <c r="BD140" s="133"/>
      <c r="BE140" s="133"/>
      <c r="BF140" s="133"/>
      <c r="BG140" s="133"/>
      <c r="BH140" s="133"/>
    </row>
    <row r="141" ht="31" customHeight="1" spans="1:60">
      <c r="A141" s="35"/>
      <c r="B141" s="135"/>
      <c r="C141" s="135"/>
      <c r="D141" s="182"/>
      <c r="E141" s="153"/>
      <c r="F141" s="154"/>
      <c r="G141" s="173"/>
      <c r="H141" s="173"/>
      <c r="I141" s="136"/>
      <c r="J141" s="156"/>
      <c r="K141" s="156"/>
      <c r="L141" s="170" t="str">
        <f>IF(B141&lt;&gt;"",V141,"")</f>
        <v/>
      </c>
      <c r="M141" s="170" t="str">
        <f>IF(B141&lt;&gt;"",SUM(P141:U141)*L141,"")</f>
        <v/>
      </c>
      <c r="N141" s="158"/>
      <c r="O141" s="158"/>
      <c r="P141" s="31">
        <f>IF(AND(B141="国家级",OR(C141="一等奖",C141="金奖")),25,IF(AND(B141="国家级",OR(C141="二等奖",C141="银奖")),20,IF(AND(B141="国家级",OR(C141="三等奖",C141="铜奖",C141="无等级")),15,0)))</f>
        <v>0</v>
      </c>
      <c r="Q141" s="31">
        <f>IF(AND(B141="市级",OR(C141="一等奖",C141="金奖")),6,IF(AND(B141="市级",OR(C141="二等奖",C141="银奖")),4,IF(AND(B141="市级",OR(C141="三等奖",C141="铜奖",C141="无等级")),2,0)))</f>
        <v>0</v>
      </c>
      <c r="R141" s="31">
        <f>IF(AND(B141="校级",OR(C141="一等奖",C141="金奖")),3,IF(AND(B141="校级",OR(C141="二等奖",C141="银奖")),2,IF(AND(B141="校级",OR(C141="三等奖",C141="铜奖",C141="无等级")),1,0)))</f>
        <v>0</v>
      </c>
      <c r="S141" s="31">
        <f>IF(AND(B141="世界技能大赛",OR(C141="一等奖",C141="金奖")),50,IF(AND(B141="世界技能大赛",OR(C141="二等奖",C141="银奖")),40,IF(AND(B141="世界技能大赛",OR(C141="三等奖",C141="铜奖",C141="无等级")),30,0)))</f>
        <v>0</v>
      </c>
      <c r="T141" s="31">
        <f>IF(AND(B141="省级",OR(C141="一等奖",C141="金奖")),12,IF(AND(B141="省级",OR(C141="二等奖",C141="银奖")),9,IF(AND(B141="省级",OR(C141="三等奖",C141="铜奖",C141="无等级")),6,0)))</f>
        <v>0</v>
      </c>
      <c r="U141" s="178">
        <f>IF(AND(B141="国家开放大学",OR(C141="一等奖",C141="金奖")),12,IF(AND(B141="国家开放大学",OR(C141="二等奖",C141="银奖")),9,IF(AND(B141="国家开放大学",OR(C141="三等奖",C141="铜奖",C141="无等级")),6,0)))</f>
        <v>0</v>
      </c>
      <c r="V141" s="158">
        <f>IF(I141="独立完成",1,IF(K141=1,0.7,IF(K141=2,0.3,IF(K141&gt;2,0.1,0))))</f>
        <v>0</v>
      </c>
      <c r="W141" s="178">
        <f>IF(OR(I141="独立完成",AND(K141&lt;&gt;"",K141&lt;4)),IF(OR(B141="世界技能大赛",B141="国家级",B141="省级",B141="国家开放大学",B141="市级"),1,0),0)</f>
        <v>0</v>
      </c>
      <c r="X141" s="158"/>
      <c r="Y141" s="158"/>
      <c r="Z141" s="158"/>
      <c r="AA141" s="158"/>
      <c r="AB141" s="158"/>
      <c r="AC141" s="158"/>
      <c r="AD141" s="158"/>
      <c r="AE141" s="158"/>
      <c r="AK141" s="133"/>
      <c r="AL141" s="133"/>
      <c r="AM141" s="133"/>
      <c r="AN141" s="133"/>
      <c r="AO141" s="133"/>
      <c r="AP141" s="133"/>
      <c r="AQ141" s="133"/>
      <c r="AR141" s="133"/>
      <c r="AS141" s="133"/>
      <c r="AT141" s="133"/>
      <c r="AU141" s="133"/>
      <c r="AV141" s="133"/>
      <c r="AW141" s="133"/>
      <c r="AX141" s="133"/>
      <c r="AY141" s="133"/>
      <c r="AZ141" s="133"/>
      <c r="BA141" s="133"/>
      <c r="BB141" s="133"/>
      <c r="BC141" s="133"/>
      <c r="BD141" s="133"/>
      <c r="BE141" s="133"/>
      <c r="BF141" s="133"/>
      <c r="BG141" s="133"/>
      <c r="BH141" s="133"/>
    </row>
    <row r="142" ht="31" customHeight="1" spans="1:60">
      <c r="A142" s="35"/>
      <c r="B142" s="138" t="s">
        <v>57</v>
      </c>
      <c r="C142" s="139"/>
      <c r="D142" s="139"/>
      <c r="E142" s="139"/>
      <c r="F142" s="139"/>
      <c r="G142" s="139"/>
      <c r="H142" s="139"/>
      <c r="I142" s="139"/>
      <c r="J142" s="139"/>
      <c r="K142" s="139"/>
      <c r="L142" s="159"/>
      <c r="M142" s="170">
        <f>IF(M138&lt;&gt;"",SUM(M138:M141),0)</f>
        <v>0</v>
      </c>
      <c r="N142" s="171"/>
      <c r="O142" s="171"/>
      <c r="AK142" s="133"/>
      <c r="AL142" s="133"/>
      <c r="AM142" s="133"/>
      <c r="AN142" s="133"/>
      <c r="AO142" s="133"/>
      <c r="AP142" s="133"/>
      <c r="AQ142" s="133"/>
      <c r="AR142" s="133"/>
      <c r="AS142" s="133"/>
      <c r="AT142" s="133"/>
      <c r="AU142" s="133"/>
      <c r="AV142" s="133"/>
      <c r="AW142" s="133"/>
      <c r="AX142" s="133"/>
      <c r="AY142" s="133"/>
      <c r="AZ142" s="133"/>
      <c r="BA142" s="133"/>
      <c r="BB142" s="133"/>
      <c r="BC142" s="133"/>
      <c r="BD142" s="133"/>
      <c r="BE142" s="133"/>
      <c r="BF142" s="133"/>
      <c r="BG142" s="133"/>
      <c r="BH142" s="133"/>
    </row>
    <row r="143" ht="31" customHeight="1" spans="1:60">
      <c r="A143" s="35"/>
      <c r="B143" s="183" t="s">
        <v>199</v>
      </c>
      <c r="C143" s="183"/>
      <c r="D143" s="183"/>
      <c r="E143" s="183"/>
      <c r="F143" s="183"/>
      <c r="G143" s="183"/>
      <c r="H143" s="183"/>
      <c r="I143" s="183"/>
      <c r="J143" s="183"/>
      <c r="K143" s="183"/>
      <c r="L143" s="183"/>
      <c r="M143" s="183"/>
      <c r="N143" s="183"/>
      <c r="O143" s="183"/>
      <c r="AK143" s="133"/>
      <c r="AL143" s="133"/>
      <c r="AM143" s="133"/>
      <c r="AN143" s="133"/>
      <c r="AO143" s="133"/>
      <c r="AP143" s="133"/>
      <c r="AQ143" s="133"/>
      <c r="AR143" s="133"/>
      <c r="AS143" s="133"/>
      <c r="AT143" s="133"/>
      <c r="AU143" s="133"/>
      <c r="AV143" s="133"/>
      <c r="AW143" s="133"/>
      <c r="AX143" s="133"/>
      <c r="AY143" s="133"/>
      <c r="AZ143" s="133"/>
      <c r="BA143" s="133"/>
      <c r="BB143" s="133"/>
      <c r="BC143" s="133"/>
      <c r="BD143" s="133"/>
      <c r="BE143" s="133"/>
      <c r="BF143" s="133"/>
      <c r="BG143" s="133"/>
      <c r="BH143" s="133"/>
    </row>
    <row r="144" ht="31" customHeight="1" spans="1:60">
      <c r="A144" s="35"/>
      <c r="B144" s="60" t="s">
        <v>61</v>
      </c>
      <c r="C144" s="60" t="s">
        <v>151</v>
      </c>
      <c r="D144" s="60"/>
      <c r="E144" s="60" t="s">
        <v>152</v>
      </c>
      <c r="F144" s="60" t="s">
        <v>124</v>
      </c>
      <c r="G144" s="60"/>
      <c r="H144" s="140" t="s">
        <v>153</v>
      </c>
      <c r="I144" s="140" t="s">
        <v>83</v>
      </c>
      <c r="J144" s="60" t="s">
        <v>84</v>
      </c>
      <c r="K144" s="60" t="s">
        <v>85</v>
      </c>
      <c r="L144" s="60" t="s">
        <v>86</v>
      </c>
      <c r="M144" s="60" t="s">
        <v>87</v>
      </c>
      <c r="N144" s="60" t="s">
        <v>39</v>
      </c>
      <c r="O144" s="60" t="s">
        <v>40</v>
      </c>
      <c r="P144" s="130" t="s">
        <v>200</v>
      </c>
      <c r="Q144" s="130" t="s">
        <v>201</v>
      </c>
      <c r="R144" s="175" t="s">
        <v>202</v>
      </c>
      <c r="S144" s="176"/>
      <c r="T144" s="175" t="s">
        <v>203</v>
      </c>
      <c r="U144" s="176"/>
      <c r="V144" s="130"/>
      <c r="W144" s="130"/>
      <c r="X144" s="130"/>
      <c r="Y144" s="130"/>
      <c r="Z144" s="130"/>
      <c r="AA144" s="130"/>
      <c r="AB144" s="130"/>
      <c r="AC144" s="130"/>
      <c r="AD144" s="130"/>
      <c r="AE144" s="130"/>
      <c r="AF144" s="130"/>
      <c r="AG144" s="130"/>
      <c r="AH144" s="130"/>
      <c r="AI144" s="130"/>
      <c r="AJ144" s="175"/>
      <c r="AK144" s="133"/>
      <c r="AL144" s="133"/>
      <c r="AM144" s="133"/>
      <c r="AN144" s="133"/>
      <c r="AO144" s="133"/>
      <c r="AP144" s="133"/>
      <c r="AQ144" s="133"/>
      <c r="AR144" s="133"/>
      <c r="AS144" s="133"/>
      <c r="AT144" s="133"/>
      <c r="AU144" s="133"/>
      <c r="AV144" s="133"/>
      <c r="AW144" s="133"/>
      <c r="AX144" s="133"/>
      <c r="AY144" s="133"/>
      <c r="AZ144" s="133"/>
      <c r="BA144" s="133"/>
      <c r="BB144" s="133"/>
      <c r="BC144" s="133"/>
      <c r="BD144" s="133"/>
      <c r="BE144" s="133"/>
      <c r="BF144" s="133"/>
      <c r="BG144" s="133"/>
      <c r="BH144" s="133"/>
    </row>
    <row r="145" ht="31" customHeight="1" spans="1:60">
      <c r="A145" s="35"/>
      <c r="B145" s="135"/>
      <c r="C145" s="135"/>
      <c r="D145" s="135"/>
      <c r="E145" s="135"/>
      <c r="F145" s="136"/>
      <c r="G145" s="136"/>
      <c r="H145" s="173"/>
      <c r="I145" s="136"/>
      <c r="J145" s="156"/>
      <c r="K145" s="156"/>
      <c r="L145" s="170" t="str">
        <f>IF(B145&lt;&gt;"",Q145,"")</f>
        <v/>
      </c>
      <c r="M145" s="170" t="str">
        <f>IF(B145&lt;&gt;"",P145*L145,"")</f>
        <v/>
      </c>
      <c r="N145" s="158"/>
      <c r="O145" s="158"/>
      <c r="P145" s="31">
        <f>IF(AND(B145="课程建设",E145="国家级"),40,IF(AND(B145="课程建设",E145="省级"),20,IF(AND(B145="课程建设",E145="市级"),10,IF(AND(B145="课程建设",E145="校级"),5,0))))</f>
        <v>0</v>
      </c>
      <c r="Q145" s="31">
        <f>IF(B145="课程建设",IF(I145="独立完成",1,IF(K145=1,0.7,IF(K145=2,0.3,IF(K145=3,0.1,IF(K145&gt;3,0.05,0))))),0)</f>
        <v>0</v>
      </c>
      <c r="R145" s="131">
        <f>IF(AND(C145="主干课建设",OR(I145="独立完成",K145=1)),1,0)</f>
        <v>0</v>
      </c>
      <c r="S145" s="132"/>
      <c r="T145" s="131">
        <f>IF(AND(C145="精品课建设",E145="国家级",OR(I145="独立完成",K145&lt;4)),1,0)</f>
        <v>0</v>
      </c>
      <c r="U145" s="132"/>
      <c r="V145" s="31"/>
      <c r="W145" s="31"/>
      <c r="X145" s="166"/>
      <c r="Y145" s="166"/>
      <c r="Z145" s="31"/>
      <c r="AA145" s="31"/>
      <c r="AB145" s="31"/>
      <c r="AC145" s="31"/>
      <c r="AD145" s="31"/>
      <c r="AE145" s="31"/>
      <c r="AF145" s="31"/>
      <c r="AG145" s="31"/>
      <c r="AH145" s="166"/>
      <c r="AI145" s="166"/>
      <c r="AJ145" s="248"/>
      <c r="AK145" s="133"/>
      <c r="AL145" s="133"/>
      <c r="AM145" s="133"/>
      <c r="AN145" s="133"/>
      <c r="AO145" s="133"/>
      <c r="AP145" s="133"/>
      <c r="AQ145" s="133"/>
      <c r="AR145" s="133"/>
      <c r="AS145" s="133"/>
      <c r="AT145" s="133"/>
      <c r="AU145" s="133"/>
      <c r="AV145" s="133"/>
      <c r="AW145" s="133"/>
      <c r="AX145" s="133"/>
      <c r="AY145" s="133"/>
      <c r="AZ145" s="133"/>
      <c r="BA145" s="133"/>
      <c r="BB145" s="133"/>
      <c r="BC145" s="133"/>
      <c r="BD145" s="133"/>
      <c r="BE145" s="133"/>
      <c r="BF145" s="133"/>
      <c r="BG145" s="133"/>
      <c r="BH145" s="133"/>
    </row>
    <row r="146" ht="31" customHeight="1" spans="1:60">
      <c r="A146" s="35"/>
      <c r="B146" s="135"/>
      <c r="C146" s="135"/>
      <c r="D146" s="135"/>
      <c r="E146" s="135"/>
      <c r="F146" s="136"/>
      <c r="G146" s="136"/>
      <c r="H146" s="173"/>
      <c r="I146" s="136"/>
      <c r="J146" s="156"/>
      <c r="K146" s="156"/>
      <c r="L146" s="170" t="str">
        <f>IF(B146&lt;&gt;"",Q146,"")</f>
        <v/>
      </c>
      <c r="M146" s="170" t="str">
        <f>IF(B146&lt;&gt;"",P146*L146,"")</f>
        <v/>
      </c>
      <c r="N146" s="158"/>
      <c r="O146" s="158"/>
      <c r="P146" s="31">
        <f>IF(AND(B146="课程建设",E146="国家级"),40,IF(AND(B146="课程建设",E146="省级"),20,IF(AND(B146="课程建设",E146="市级"),10,IF(AND(B146="课程建设",E146="校级"),5,0))))</f>
        <v>0</v>
      </c>
      <c r="Q146" s="31">
        <f>IF(B146="课程建设",IF(I146="独立完成",1,IF(K146=1,0.7,IF(K146=2,0.3,IF(K146=3,0.1,IF(K146&gt;3,0.05,0))))),0)</f>
        <v>0</v>
      </c>
      <c r="R146" s="131">
        <f>IF(AND(C146="主干课建设",OR(I146="独立完成",K146=1)),1,0)</f>
        <v>0</v>
      </c>
      <c r="S146" s="132"/>
      <c r="T146" s="131">
        <f>IF(AND(C146="精品课建设",E146="国家级",OR(I146="独立完成",K146&lt;4)),1,0)</f>
        <v>0</v>
      </c>
      <c r="U146" s="132"/>
      <c r="V146" s="31"/>
      <c r="W146" s="31"/>
      <c r="X146" s="166"/>
      <c r="Y146" s="166"/>
      <c r="Z146" s="31"/>
      <c r="AA146" s="31"/>
      <c r="AB146" s="31"/>
      <c r="AC146" s="31"/>
      <c r="AD146" s="31"/>
      <c r="AE146" s="31"/>
      <c r="AF146" s="31"/>
      <c r="AG146" s="31"/>
      <c r="AH146" s="166"/>
      <c r="AI146" s="166"/>
      <c r="AJ146" s="248"/>
      <c r="AK146" s="133"/>
      <c r="AL146" s="133"/>
      <c r="AM146" s="133"/>
      <c r="AN146" s="133"/>
      <c r="AO146" s="133"/>
      <c r="AP146" s="133"/>
      <c r="AQ146" s="133"/>
      <c r="AR146" s="133"/>
      <c r="AS146" s="133"/>
      <c r="AT146" s="133"/>
      <c r="AU146" s="133"/>
      <c r="AV146" s="133"/>
      <c r="AW146" s="133"/>
      <c r="AX146" s="133"/>
      <c r="AY146" s="133"/>
      <c r="AZ146" s="133"/>
      <c r="BA146" s="133"/>
      <c r="BB146" s="133"/>
      <c r="BC146" s="133"/>
      <c r="BD146" s="133"/>
      <c r="BE146" s="133"/>
      <c r="BF146" s="133"/>
      <c r="BG146" s="133"/>
      <c r="BH146" s="133"/>
    </row>
    <row r="147" ht="31" customHeight="1" spans="1:60">
      <c r="A147" s="35"/>
      <c r="B147" s="135"/>
      <c r="C147" s="135"/>
      <c r="D147" s="135"/>
      <c r="E147" s="135"/>
      <c r="F147" s="136"/>
      <c r="G147" s="136"/>
      <c r="H147" s="173"/>
      <c r="I147" s="136"/>
      <c r="J147" s="156"/>
      <c r="K147" s="156"/>
      <c r="L147" s="170" t="str">
        <f>IF(B147&lt;&gt;"",Q147,"")</f>
        <v/>
      </c>
      <c r="M147" s="170" t="str">
        <f>IF(B147&lt;&gt;"",P147*L147,"")</f>
        <v/>
      </c>
      <c r="N147" s="158"/>
      <c r="O147" s="158"/>
      <c r="P147" s="31">
        <f>IF(AND(B147="课程建设",E147="国家级"),40,IF(AND(B147="课程建设",E147="省级"),20,IF(AND(B147="课程建设",E147="市级"),10,IF(AND(B147="课程建设",E147="校级"),5,0))))</f>
        <v>0</v>
      </c>
      <c r="Q147" s="31">
        <f>IF(B147="课程建设",IF(I147="独立完成",1,IF(K147=1,0.7,IF(K147=2,0.3,IF(K147=3,0.1,IF(K147&gt;3,0.05,0))))),0)</f>
        <v>0</v>
      </c>
      <c r="R147" s="131">
        <f>IF(AND(C147="主干课建设",OR(I147="独立完成",K147=1)),1,0)</f>
        <v>0</v>
      </c>
      <c r="S147" s="132"/>
      <c r="T147" s="131">
        <f>IF(AND(C147="精品课建设",E147="国家级",OR(I147="独立完成",K147&lt;4)),1,0)</f>
        <v>0</v>
      </c>
      <c r="U147" s="132"/>
      <c r="V147" s="31"/>
      <c r="W147" s="31"/>
      <c r="X147" s="166"/>
      <c r="Y147" s="166"/>
      <c r="Z147" s="31"/>
      <c r="AA147" s="31"/>
      <c r="AB147" s="31"/>
      <c r="AC147" s="31"/>
      <c r="AD147" s="31"/>
      <c r="AE147" s="31"/>
      <c r="AF147" s="31"/>
      <c r="AG147" s="31"/>
      <c r="AH147" s="166"/>
      <c r="AI147" s="166"/>
      <c r="AJ147" s="248"/>
      <c r="AK147" s="133"/>
      <c r="AL147" s="133"/>
      <c r="AM147" s="133"/>
      <c r="AN147" s="133"/>
      <c r="AO147" s="133"/>
      <c r="AP147" s="133"/>
      <c r="AQ147" s="133"/>
      <c r="AR147" s="133"/>
      <c r="AS147" s="133"/>
      <c r="AT147" s="133"/>
      <c r="AU147" s="133"/>
      <c r="AV147" s="133"/>
      <c r="AW147" s="133"/>
      <c r="AX147" s="133"/>
      <c r="AY147" s="133"/>
      <c r="AZ147" s="133"/>
      <c r="BA147" s="133"/>
      <c r="BB147" s="133"/>
      <c r="BC147" s="133"/>
      <c r="BD147" s="133"/>
      <c r="BE147" s="133"/>
      <c r="BF147" s="133"/>
      <c r="BG147" s="133"/>
      <c r="BH147" s="133"/>
    </row>
    <row r="148" ht="31" customHeight="1" spans="1:60">
      <c r="A148" s="35"/>
      <c r="B148" s="138" t="s">
        <v>57</v>
      </c>
      <c r="C148" s="139"/>
      <c r="D148" s="139"/>
      <c r="E148" s="139"/>
      <c r="F148" s="139"/>
      <c r="G148" s="139"/>
      <c r="H148" s="139"/>
      <c r="I148" s="139"/>
      <c r="J148" s="139"/>
      <c r="K148" s="139"/>
      <c r="L148" s="159"/>
      <c r="M148" s="170">
        <f>IF(M145&lt;&gt;"",SUM(M145:M147),0)</f>
        <v>0</v>
      </c>
      <c r="N148" s="171"/>
      <c r="O148" s="171"/>
      <c r="AK148" s="133"/>
      <c r="AL148" s="133"/>
      <c r="AM148" s="133"/>
      <c r="AN148" s="133"/>
      <c r="AO148" s="133"/>
      <c r="AP148" s="133"/>
      <c r="AQ148" s="133"/>
      <c r="AR148" s="133"/>
      <c r="AS148" s="133"/>
      <c r="AT148" s="133"/>
      <c r="AU148" s="133"/>
      <c r="AV148" s="133"/>
      <c r="AW148" s="133"/>
      <c r="AX148" s="133"/>
      <c r="AY148" s="133"/>
      <c r="AZ148" s="133"/>
      <c r="BA148" s="133"/>
      <c r="BB148" s="133"/>
      <c r="BC148" s="133"/>
      <c r="BD148" s="133"/>
      <c r="BE148" s="133"/>
      <c r="BF148" s="133"/>
      <c r="BG148" s="133"/>
      <c r="BH148" s="133"/>
    </row>
    <row r="149" ht="31" customHeight="1" spans="1:60">
      <c r="A149" s="35"/>
      <c r="B149" s="134" t="s">
        <v>204</v>
      </c>
      <c r="C149" s="134"/>
      <c r="D149" s="134"/>
      <c r="E149" s="134"/>
      <c r="F149" s="134"/>
      <c r="G149" s="134"/>
      <c r="H149" s="134"/>
      <c r="I149" s="134"/>
      <c r="J149" s="134"/>
      <c r="K149" s="134"/>
      <c r="L149" s="134"/>
      <c r="M149" s="134"/>
      <c r="N149" s="134"/>
      <c r="O149" s="134"/>
      <c r="AK149" s="133"/>
      <c r="AL149" s="133"/>
      <c r="AM149" s="133"/>
      <c r="AN149" s="133"/>
      <c r="AO149" s="133"/>
      <c r="AP149" s="133"/>
      <c r="AQ149" s="133"/>
      <c r="AR149" s="133"/>
      <c r="AS149" s="133"/>
      <c r="AT149" s="133"/>
      <c r="AU149" s="133"/>
      <c r="AV149" s="133"/>
      <c r="AW149" s="133"/>
      <c r="AX149" s="133"/>
      <c r="AY149" s="133"/>
      <c r="AZ149" s="133"/>
      <c r="BA149" s="133"/>
      <c r="BB149" s="133"/>
      <c r="BC149" s="133"/>
      <c r="BD149" s="133"/>
      <c r="BE149" s="133"/>
      <c r="BF149" s="133"/>
      <c r="BG149" s="133"/>
      <c r="BH149" s="133"/>
    </row>
    <row r="150" ht="31" customHeight="1" spans="1:60">
      <c r="A150" s="35"/>
      <c r="B150" s="60" t="s">
        <v>205</v>
      </c>
      <c r="C150" s="65" t="s">
        <v>152</v>
      </c>
      <c r="D150" s="78"/>
      <c r="E150" s="77" t="s">
        <v>206</v>
      </c>
      <c r="F150" s="77" t="s">
        <v>207</v>
      </c>
      <c r="G150" s="78"/>
      <c r="H150" s="79"/>
      <c r="I150" s="77" t="s">
        <v>208</v>
      </c>
      <c r="J150" s="78"/>
      <c r="K150" s="79"/>
      <c r="L150" s="160" t="s">
        <v>86</v>
      </c>
      <c r="M150" s="60" t="s">
        <v>87</v>
      </c>
      <c r="N150" s="60" t="s">
        <v>39</v>
      </c>
      <c r="O150" s="60" t="s">
        <v>40</v>
      </c>
      <c r="P150" s="130" t="s">
        <v>88</v>
      </c>
      <c r="Q150" s="130" t="s">
        <v>209</v>
      </c>
      <c r="R150" s="130" t="s">
        <v>210</v>
      </c>
      <c r="S150" s="130" t="s">
        <v>211</v>
      </c>
      <c r="T150" s="130" t="s">
        <v>212</v>
      </c>
      <c r="U150" s="130" t="s">
        <v>182</v>
      </c>
      <c r="V150" s="31"/>
      <c r="AK150" s="133"/>
      <c r="AL150" s="133"/>
      <c r="AM150" s="133"/>
      <c r="AN150" s="133"/>
      <c r="AO150" s="133"/>
      <c r="AP150" s="133"/>
      <c r="AQ150" s="133"/>
      <c r="AR150" s="133"/>
      <c r="AS150" s="133"/>
      <c r="AT150" s="133"/>
      <c r="AU150" s="133"/>
      <c r="AV150" s="133"/>
      <c r="AW150" s="133"/>
      <c r="AX150" s="133"/>
      <c r="AY150" s="133"/>
      <c r="AZ150" s="133"/>
      <c r="BA150" s="133"/>
      <c r="BB150" s="133"/>
      <c r="BC150" s="133"/>
      <c r="BD150" s="133"/>
      <c r="BE150" s="133"/>
      <c r="BF150" s="133"/>
      <c r="BG150" s="133"/>
      <c r="BH150" s="133"/>
    </row>
    <row r="151" ht="31" customHeight="1" spans="1:60">
      <c r="A151" s="35"/>
      <c r="B151" s="135"/>
      <c r="C151" s="152"/>
      <c r="D151" s="154"/>
      <c r="E151" s="136"/>
      <c r="F151" s="152"/>
      <c r="G151" s="153"/>
      <c r="H151" s="154"/>
      <c r="I151" s="141"/>
      <c r="J151" s="142"/>
      <c r="K151" s="143"/>
      <c r="L151" s="157" t="str">
        <f>IF(B151&lt;&gt;"",1,"")</f>
        <v/>
      </c>
      <c r="M151" s="157" t="str">
        <f>IF(B151&lt;&gt;"",SUM(Q151:T151)*L151,"")</f>
        <v/>
      </c>
      <c r="N151" s="31"/>
      <c r="O151" s="31"/>
      <c r="P151" s="31">
        <f>IF(I151="独立完成",1,IF(K151=1,0.6,IF(K151=2,0.4,IF(K151=3,0.2,IF(K151=4,0.1,IF(K151&gt;4,0.05,0))))))</f>
        <v>0</v>
      </c>
      <c r="Q151" s="31">
        <f>IF(C151="高级",3,0)</f>
        <v>0</v>
      </c>
      <c r="R151" s="31">
        <f>IF(C151="中级",2,0)</f>
        <v>0</v>
      </c>
      <c r="S151" s="31">
        <f>IF(C151="初级",1,0)</f>
        <v>0</v>
      </c>
      <c r="T151" s="31">
        <f>IF(C151="无等级",2,0)</f>
        <v>0</v>
      </c>
      <c r="U151" s="31">
        <f>IF(C151="高级",1,0)</f>
        <v>0</v>
      </c>
      <c r="V151" s="31"/>
      <c r="AK151" s="133"/>
      <c r="AL151" s="133"/>
      <c r="AM151" s="133"/>
      <c r="AN151" s="133"/>
      <c r="AO151" s="133"/>
      <c r="AP151" s="133"/>
      <c r="AQ151" s="133"/>
      <c r="AR151" s="133"/>
      <c r="AS151" s="133"/>
      <c r="AT151" s="133"/>
      <c r="AU151" s="133"/>
      <c r="AV151" s="133"/>
      <c r="AW151" s="133"/>
      <c r="AX151" s="133"/>
      <c r="AY151" s="133"/>
      <c r="AZ151" s="133"/>
      <c r="BA151" s="133"/>
      <c r="BB151" s="133"/>
      <c r="BC151" s="133"/>
      <c r="BD151" s="133"/>
      <c r="BE151" s="133"/>
      <c r="BF151" s="133"/>
      <c r="BG151" s="133"/>
      <c r="BH151" s="133"/>
    </row>
    <row r="152" ht="31" customHeight="1" spans="1:60">
      <c r="A152" s="35"/>
      <c r="B152" s="135"/>
      <c r="C152" s="152"/>
      <c r="D152" s="154"/>
      <c r="E152" s="136"/>
      <c r="F152" s="152"/>
      <c r="G152" s="153"/>
      <c r="H152" s="154"/>
      <c r="I152" s="141"/>
      <c r="J152" s="142"/>
      <c r="K152" s="143"/>
      <c r="L152" s="157" t="str">
        <f>IF(B152&lt;&gt;"",1,"")</f>
        <v/>
      </c>
      <c r="M152" s="157" t="str">
        <f>IF(B152&lt;&gt;"",SUM(Q152:T152)*L152,"")</f>
        <v/>
      </c>
      <c r="N152" s="31"/>
      <c r="O152" s="31"/>
      <c r="P152" s="31">
        <f>IF(I152="独立完成",1,IF(K152=1,0.6,IF(K152=2,0.4,IF(K152=3,0.2,IF(K152=4,0.1,IF(K152&gt;4,0.05,0))))))</f>
        <v>0</v>
      </c>
      <c r="Q152" s="31">
        <f>IF(C152="高级",3,0)</f>
        <v>0</v>
      </c>
      <c r="R152" s="31">
        <f>IF(C152="中级",2,0)</f>
        <v>0</v>
      </c>
      <c r="S152" s="31">
        <f>IF(C152="初级",1,0)</f>
        <v>0</v>
      </c>
      <c r="T152" s="31">
        <f>IF(C152="无等级",2,0)</f>
        <v>0</v>
      </c>
      <c r="U152" s="31">
        <f>IF(C152="高级",1,0)</f>
        <v>0</v>
      </c>
      <c r="V152" s="31"/>
      <c r="AK152" s="133"/>
      <c r="AL152" s="133"/>
      <c r="AM152" s="133"/>
      <c r="AN152" s="133"/>
      <c r="AO152" s="133"/>
      <c r="AP152" s="133"/>
      <c r="AQ152" s="133"/>
      <c r="AR152" s="133"/>
      <c r="AS152" s="133"/>
      <c r="AT152" s="133"/>
      <c r="AU152" s="133"/>
      <c r="AV152" s="133"/>
      <c r="AW152" s="133"/>
      <c r="AX152" s="133"/>
      <c r="AY152" s="133"/>
      <c r="AZ152" s="133"/>
      <c r="BA152" s="133"/>
      <c r="BB152" s="133"/>
      <c r="BC152" s="133"/>
      <c r="BD152" s="133"/>
      <c r="BE152" s="133"/>
      <c r="BF152" s="133"/>
      <c r="BG152" s="133"/>
      <c r="BH152" s="133"/>
    </row>
    <row r="153" ht="31" customHeight="1" spans="1:60">
      <c r="A153" s="35"/>
      <c r="B153" s="138" t="s">
        <v>57</v>
      </c>
      <c r="C153" s="139"/>
      <c r="D153" s="139"/>
      <c r="E153" s="139"/>
      <c r="F153" s="139"/>
      <c r="G153" s="139"/>
      <c r="H153" s="139"/>
      <c r="I153" s="139"/>
      <c r="J153" s="139"/>
      <c r="K153" s="139"/>
      <c r="L153" s="159"/>
      <c r="M153" s="157">
        <f>IF(M151&lt;&gt;"",SUM(M151:M152),0)</f>
        <v>0</v>
      </c>
      <c r="N153" s="160"/>
      <c r="O153" s="160"/>
      <c r="AK153" s="133"/>
      <c r="AL153" s="133"/>
      <c r="AM153" s="133"/>
      <c r="AN153" s="133"/>
      <c r="AO153" s="133"/>
      <c r="AP153" s="133"/>
      <c r="AQ153" s="133"/>
      <c r="AR153" s="133"/>
      <c r="AS153" s="133"/>
      <c r="AT153" s="133"/>
      <c r="AU153" s="133"/>
      <c r="AV153" s="133"/>
      <c r="AW153" s="133"/>
      <c r="AX153" s="133"/>
      <c r="AY153" s="133"/>
      <c r="AZ153" s="133"/>
      <c r="BA153" s="133"/>
      <c r="BB153" s="133"/>
      <c r="BC153" s="133"/>
      <c r="BD153" s="133"/>
      <c r="BE153" s="133"/>
      <c r="BF153" s="133"/>
      <c r="BG153" s="133"/>
      <c r="BH153" s="133"/>
    </row>
    <row r="154" ht="31" customHeight="1" spans="1:60">
      <c r="A154" s="35"/>
      <c r="B154" s="76" t="s">
        <v>213</v>
      </c>
      <c r="C154" s="76"/>
      <c r="D154" s="76"/>
      <c r="E154" s="76"/>
      <c r="F154" s="76"/>
      <c r="G154" s="76"/>
      <c r="H154" s="76"/>
      <c r="I154" s="76"/>
      <c r="J154" s="76"/>
      <c r="K154" s="76"/>
      <c r="L154" s="76"/>
      <c r="M154" s="76"/>
      <c r="N154" s="76"/>
      <c r="O154" s="76"/>
      <c r="AK154" s="133"/>
      <c r="AL154" s="133"/>
      <c r="AM154" s="133"/>
      <c r="AN154" s="133"/>
      <c r="AO154" s="133"/>
      <c r="AP154" s="133"/>
      <c r="AQ154" s="133"/>
      <c r="AR154" s="133"/>
      <c r="AS154" s="133"/>
      <c r="AT154" s="133"/>
      <c r="AU154" s="133"/>
      <c r="AV154" s="133"/>
      <c r="AW154" s="133"/>
      <c r="AX154" s="133"/>
      <c r="AY154" s="133"/>
      <c r="AZ154" s="133"/>
      <c r="BA154" s="133"/>
      <c r="BB154" s="133"/>
      <c r="BC154" s="133"/>
      <c r="BD154" s="133"/>
      <c r="BE154" s="133"/>
      <c r="BF154" s="133"/>
      <c r="BG154" s="133"/>
      <c r="BH154" s="133"/>
    </row>
    <row r="155" ht="31" customHeight="1" spans="1:60">
      <c r="A155" s="35"/>
      <c r="B155" s="60" t="s">
        <v>61</v>
      </c>
      <c r="C155" s="60" t="s">
        <v>151</v>
      </c>
      <c r="D155" s="60"/>
      <c r="E155" s="60" t="s">
        <v>152</v>
      </c>
      <c r="F155" s="60" t="s">
        <v>124</v>
      </c>
      <c r="G155" s="60"/>
      <c r="H155" s="140" t="s">
        <v>153</v>
      </c>
      <c r="I155" s="140" t="s">
        <v>83</v>
      </c>
      <c r="J155" s="60" t="s">
        <v>84</v>
      </c>
      <c r="K155" s="60" t="s">
        <v>85</v>
      </c>
      <c r="L155" s="60" t="s">
        <v>86</v>
      </c>
      <c r="M155" s="60" t="s">
        <v>87</v>
      </c>
      <c r="N155" s="60" t="s">
        <v>39</v>
      </c>
      <c r="O155" s="60" t="s">
        <v>40</v>
      </c>
      <c r="P155" s="130" t="s">
        <v>214</v>
      </c>
      <c r="Q155" s="130" t="s">
        <v>215</v>
      </c>
      <c r="R155" s="130" t="s">
        <v>216</v>
      </c>
      <c r="S155" s="130" t="s">
        <v>217</v>
      </c>
      <c r="T155" s="130" t="s">
        <v>218</v>
      </c>
      <c r="U155" s="130" t="s">
        <v>219</v>
      </c>
      <c r="V155" s="130" t="s">
        <v>200</v>
      </c>
      <c r="W155" s="130" t="s">
        <v>201</v>
      </c>
      <c r="X155" s="130" t="s">
        <v>220</v>
      </c>
      <c r="Y155" s="130" t="s">
        <v>221</v>
      </c>
      <c r="Z155" s="130" t="s">
        <v>222</v>
      </c>
      <c r="AA155" s="130" t="s">
        <v>223</v>
      </c>
      <c r="AB155" s="130" t="s">
        <v>224</v>
      </c>
      <c r="AC155" s="130" t="s">
        <v>225</v>
      </c>
      <c r="AD155" s="130" t="s">
        <v>226</v>
      </c>
      <c r="AE155" s="130" t="s">
        <v>227</v>
      </c>
      <c r="AF155" s="130" t="s">
        <v>228</v>
      </c>
      <c r="AG155" s="130" t="s">
        <v>229</v>
      </c>
      <c r="AH155" s="130" t="s">
        <v>230</v>
      </c>
      <c r="AI155" s="130" t="s">
        <v>231</v>
      </c>
      <c r="AJ155" s="175" t="s">
        <v>232</v>
      </c>
      <c r="AK155" s="133"/>
      <c r="AL155" s="133"/>
      <c r="AM155" s="133"/>
      <c r="AN155" s="133"/>
      <c r="AO155" s="133"/>
      <c r="AP155" s="133"/>
      <c r="AQ155" s="133"/>
      <c r="AR155" s="133"/>
      <c r="AS155" s="133"/>
      <c r="AT155" s="133"/>
      <c r="AU155" s="133"/>
      <c r="AV155" s="133"/>
      <c r="AW155" s="133"/>
      <c r="AX155" s="133"/>
      <c r="AY155" s="133"/>
      <c r="AZ155" s="133"/>
      <c r="BA155" s="133"/>
      <c r="BB155" s="133"/>
      <c r="BC155" s="133"/>
      <c r="BD155" s="133"/>
      <c r="BE155" s="133"/>
      <c r="BF155" s="133"/>
      <c r="BG155" s="133"/>
      <c r="BH155" s="133"/>
    </row>
    <row r="156" ht="31" customHeight="1" spans="1:60">
      <c r="A156" s="35"/>
      <c r="B156" s="135"/>
      <c r="C156" s="135"/>
      <c r="D156" s="135"/>
      <c r="E156" s="135"/>
      <c r="F156" s="136"/>
      <c r="G156" s="136"/>
      <c r="H156" s="173"/>
      <c r="I156" s="136"/>
      <c r="J156" s="156"/>
      <c r="K156" s="156"/>
      <c r="L156" s="170" t="str">
        <f>IF(B156&lt;&gt;"",IF(OR(B156="文化建设项目",B156="产教融合项目"),0,IF(OR(B156="个人荣誉",C156="社团指导教师"),1,W156+X156)),"")</f>
        <v/>
      </c>
      <c r="M156" s="170" t="str">
        <f>IF(B156&lt;&gt;"",(SUM(P156:V156)+SUM(Y156:AJ156))*L156,"")</f>
        <v/>
      </c>
      <c r="N156" s="158"/>
      <c r="O156" s="158"/>
      <c r="P156" s="31">
        <f>IF(AND(OR(C156="品牌（示范）专业",C156="双高专业群",C156="卓越校专业群"),E156="国家级"),40,IF(AND(OR(C156="品牌（示范）专业",C156="双高专业群",C156="卓越校专业群"),E156="省级"),15,IF(AND(OR(C156="品牌（示范）专业",C156="双高专业群",C156="卓越校专业群"),E156="市级"),10,IF(AND(OR(C156="品牌（示范）专业",C156="双高专业群",C156="卓越校专业群"),E156="校级"),3,0))))</f>
        <v>0</v>
      </c>
      <c r="Q156" s="31">
        <f>IF(AND(C156="五星级专业",E156="国家级"),30,IF(AND(C156="五星级专业",E156="省级"),10,IF(AND(C156="五星级专业",E156="市级"),5,IF(AND(C156="五星级专业",E156="校级"),2,0))))</f>
        <v>0</v>
      </c>
      <c r="R156" s="31">
        <f>IF(AND(C156="四星级专业",E156="国家级"),15,IF(AND(C156="四星级专业",E156="省级"),5,IF(AND(C156="四星级专业",E156="市级"),3,IF(AND(C156="四星级专业",E156="校级"),1,0))))</f>
        <v>0</v>
      </c>
      <c r="S156" s="31">
        <f>IF(AND(OR(C156="学徒制试点",C156="1+X 证书试点考点"),E156="国家级"),30,IF(AND(OR(C156="学徒制试点",C156="1+X 证书试点考点"),E156="省级"),10,IF(AND(OR(C156="学徒制试点",C156="1+X 证书试点考点"),E156="市级"),5,IF(AND(OR(C156="学徒制试点",C156="1+X 证书试点考点"),E156="校级"),2,0))))</f>
        <v>0</v>
      </c>
      <c r="T156" s="31">
        <f>IF(AND(C156="主持资源库建设",E156="国家级"),30,IF(AND(C156="主持资源库建设",E156="省级"),15,IF(AND(C156="主持资源库建设",E156="市级"),5,IF(AND(C156="主持资源库建设",E156="校级"),3,0))))</f>
        <v>0</v>
      </c>
      <c r="U156" s="31">
        <f>IF(AND(C156="参与资源库建设",E156="国家级"),10,IF(AND(C156="参与资源库建设",E156="省级"),5,IF(AND(C156="参与资源库建设",E156="市级"),2,IF(AND(C156="参与资源库建设",E156="校级"),0,0))))</f>
        <v>0</v>
      </c>
      <c r="V156" s="31">
        <f>IF(AND(B156="课程建设",E156="国家级"),25,IF(AND(B156="课程建设",E156="省级"),10,IF(AND(B156="课程建设",E156="市级"),5,IF(AND(B156="课程建设",E156="校级"),2,0))))</f>
        <v>0</v>
      </c>
      <c r="W156" s="31">
        <f>IF(B156="课程建设",IF(I156="独立完成",1,IF(K156=1,0.7,IF(K156=2,0.3,IF(K156=3,0.1,IF(K156&gt;3,0.05))))),0)</f>
        <v>0</v>
      </c>
      <c r="X156" s="166">
        <f>IF(NOT(B156="课程建设"),IF(I156="独立完成",1,IF(K156=1,0.6,IF(AND(J156=2,K156=2),0.4,IF(AND(J156&gt;2,K156=2),0.3,IF(AND(J156&gt;2,K156=3),0.2,IF(AND(J156&gt;2,K156&gt;3),0.1,0)))))),0)</f>
        <v>0</v>
      </c>
      <c r="Y156" s="166">
        <f>IF(AND(B156="文化建设项目",E156="国家级"),40,IF(AND(B156="文化建设项目",E156="省级"),15,IF(AND(B156="文化建设项目",E156="市级"),10,IF(AND(B156="文化建设项目设",E156="校级"),3,0))))</f>
        <v>0</v>
      </c>
      <c r="Z156" s="31">
        <f>IF(AND(C156="产教融合项目",E156="国家级"),60,IF(AND(C156="产教融合项目",E156="省级"),20,IF(AND(C156="产教融合项目",E156="市级"),10,IF(AND(C156="产教融合项目",E156="校级"),0,0))))</f>
        <v>0</v>
      </c>
      <c r="AA156" s="31">
        <f>IF(AND(C156="辅导员名师",E156="国家级"),35,IF(AND(C156="辅导员名师",E156="省级"),15,IF(AND(C156="辅导员名师",E156="市级"),10,IF(AND(C156="辅导员名师",E156="校级"),5,0))))</f>
        <v>0</v>
      </c>
      <c r="AB156" s="31">
        <f>IF(AND(C156="教学名师",E156="国家级"),40,IF(AND(C156="教学名师",E156="省级"),15,IF(AND(C156="教学名师",E156="市级"),10,IF(AND(C156="教学名师",E156="校级"),5,0))))</f>
        <v>0</v>
      </c>
      <c r="AC156" s="31">
        <f>IF(AND(OR(C156="专业带头人",C156="学术带头人"),E156="国家级"),35,IF(AND(OR(C156="专业带头人",C156="学术带头人"),E156="省级"),15,IF(AND(OR(C156="专业带头人",C156="学术带头人"),E156="市级"),10,IF(AND(OR(C156="专业带头人",C156="学术带头人"),E156="校级"),5,0))))</f>
        <v>0</v>
      </c>
      <c r="AD156" s="31">
        <f>IF(AND(OR(C156="骨干教师",C156="科研骨干"),E156="国家级"),25,IF(AND(OR(C156="骨干教师",C156="科研骨干"),E156="省级"),10,IF(AND(OR(C156="骨干教师",C156="科研骨干"),E156="市级"),7,IF(AND(OR(C156="骨干教师",C156="科研骨干"),E156="校级"),5,0))))</f>
        <v>0</v>
      </c>
      <c r="AE156" s="31">
        <f>IF(AND(C156="学生团体荣誉",E156="国家级"),25,IF(AND(C156="学生团体荣誉",E156="省级"),10,IF(AND(C156="学生团体荣誉",E156="市级"),5,IF(AND(C156="学生团体荣誉",E156="校级"),3,0))))</f>
        <v>0</v>
      </c>
      <c r="AF156" s="31">
        <f>IF(AND(C156="技能大师",E156="国家级"),35,IF(AND(C156="技能大师",E156="省级"),15,IF(AND(C156="技能大师",E156="市级"),10,IF(AND(C156="技能大师",E156="校级"),5,0))))</f>
        <v>0</v>
      </c>
      <c r="AG156" s="31">
        <f>IF(AND(C156="社团指导教师",E156="国家级"),0,IF(AND(C156="教社团指导教师",E156="省级"),0,IF(AND(C156="社团指导教师",E156="市级"),0,IF(AND(C156="社团指导教师",E156="校级"),3,0))))</f>
        <v>0</v>
      </c>
      <c r="AH156" s="166">
        <f>IF(AND(OR(C156="党组织荣誉",C156="其他团体荣誉"),E156="国家级"),20,IF(AND(OR(C156="党组织荣誉",C156="其他团体荣誉"),E156="省级"),8,IF(AND(OR(C156="党组织荣誉",C156="其他团体荣誉"),E156="市级"),5,IF(AND(OR(C156="党组织荣誉",C156="其他团体荣誉"),E156="校级"),3,0))))</f>
        <v>0</v>
      </c>
      <c r="AI156" s="166">
        <f>IF(AND(C156="教师党支部书记",E156="国家级"),0,IF(AND(C156="教师党支部书记",E156="省级"),0,IF(AND(C156="教师党支部书记",E156="市级"),0,IF(AND(C156="教师党支部书记",E156="校级"),3,0))))</f>
        <v>0</v>
      </c>
      <c r="AJ156" s="248">
        <f>IF(AND(OR(C156="党务工作项目荣誉",C156="其他工作项目荣誉"),E156="国家级"),20,IF(AND(OR(C156="党务工作项目荣誉",C156="其他工作项目荣誉"),E156="省级"),8,IF(AND(OR(C156="党务工作项目荣誉",C156="其他工作项目荣誉"),E156="市级"),5,IF(AND(OR(C156="党务工作项目荣誉",C156="其他工作项目荣誉"),E156="校级"),3,0))))</f>
        <v>0</v>
      </c>
      <c r="AK156" s="133"/>
      <c r="AL156" s="133"/>
      <c r="AM156" s="133"/>
      <c r="AN156" s="133"/>
      <c r="AO156" s="133"/>
      <c r="AP156" s="133"/>
      <c r="AQ156" s="133"/>
      <c r="AR156" s="133"/>
      <c r="AS156" s="133"/>
      <c r="AT156" s="133"/>
      <c r="AU156" s="133"/>
      <c r="AV156" s="133"/>
      <c r="AW156" s="133"/>
      <c r="AX156" s="133"/>
      <c r="AY156" s="133"/>
      <c r="AZ156" s="133"/>
      <c r="BA156" s="133"/>
      <c r="BB156" s="133"/>
      <c r="BC156" s="133"/>
      <c r="BD156" s="133"/>
      <c r="BE156" s="133"/>
      <c r="BF156" s="133"/>
      <c r="BG156" s="133"/>
      <c r="BH156" s="133"/>
    </row>
    <row r="157" ht="31" customHeight="1" spans="1:60">
      <c r="A157" s="35"/>
      <c r="B157" s="135"/>
      <c r="C157" s="135"/>
      <c r="D157" s="135"/>
      <c r="E157" s="135"/>
      <c r="F157" s="136"/>
      <c r="G157" s="136"/>
      <c r="H157" s="173"/>
      <c r="I157" s="136"/>
      <c r="J157" s="156"/>
      <c r="K157" s="156"/>
      <c r="L157" s="170" t="str">
        <f>IF(B157&lt;&gt;"",IF(OR(B157="文化建设项目",B157="产教融合项目"),0,IF(OR(B157="个人荣誉",C157="社团指导教师"),1,W157+X157)),"")</f>
        <v/>
      </c>
      <c r="M157" s="170" t="str">
        <f>IF(B157&lt;&gt;"",(SUM(P157:V157)+SUM(Y157:AJ157))*L157,"")</f>
        <v/>
      </c>
      <c r="N157" s="158"/>
      <c r="O157" s="158"/>
      <c r="P157" s="31">
        <f>IF(AND(OR(C157="品牌（示范）专业",C157="双高专业群",C157="卓越校专业群"),E157="国家级"),40,IF(AND(OR(C157="品牌（示范）专业",C157="双高专业群",C157="卓越校专业群"),E157="省级"),15,IF(AND(OR(C157="品牌（示范）专业",C157="双高专业群",C157="卓越校专业群"),E157="市级"),10,IF(AND(OR(C157="品牌（示范）专业",C157="双高专业群",C157="卓越校专业群"),E157="校级"),3,0))))</f>
        <v>0</v>
      </c>
      <c r="Q157" s="31">
        <f>IF(AND(C157="五星级专业",E157="国家级"),30,IF(AND(C157="五星级专业",E157="省级"),10,IF(AND(C157="五星级专业",E157="市级"),5,IF(AND(C157="五星级专业",E157="校级"),2,0))))</f>
        <v>0</v>
      </c>
      <c r="R157" s="31">
        <f>IF(AND(C157="四星级专业",E157="国家级"),15,IF(AND(C157="四星级专业",E157="省级"),5,IF(AND(C157="四星级专业",E157="市级"),3,IF(AND(C157="四星级专业",E157="校级"),1,0))))</f>
        <v>0</v>
      </c>
      <c r="S157" s="31">
        <f>IF(AND(OR(C157="学徒制试点",C157="1+X 证书试点考点"),E157="国家级"),30,IF(AND(OR(C157="学徒制试点",C157="1+X 证书试点考点"),E157="省级"),10,IF(AND(OR(C157="学徒制试点",C157="1+X 证书试点考点"),E157="市级"),5,IF(AND(OR(C157="学徒制试点",C157="1+X 证书试点考点"),E157="校级"),2,0))))</f>
        <v>0</v>
      </c>
      <c r="T157" s="31">
        <f>IF(AND(C157="主持资源库建设",E157="国家级"),30,IF(AND(C157="主持资源库建设",E157="省级"),15,IF(AND(C157="主持资源库建设",E157="市级"),5,IF(AND(C157="主持资源库建设",E157="校级"),3,0))))</f>
        <v>0</v>
      </c>
      <c r="U157" s="31">
        <f>IF(AND(C157="参与资源库建设",E157="国家级"),10,IF(AND(C157="参与资源库建设",E157="省级"),5,IF(AND(C157="参与资源库建设",E157="市级"),2,IF(AND(C157="参与资源库建设",E157="校级"),0,0))))</f>
        <v>0</v>
      </c>
      <c r="V157" s="31">
        <f>IF(AND(B157="课程建设",E157="国家级"),25,IF(AND(B157="课程建设",E157="省级"),10,IF(AND(B157="课程建设",E157="市级"),5,IF(AND(B157="课程建设",E157="校级"),2,0))))</f>
        <v>0</v>
      </c>
      <c r="W157" s="31">
        <f>IF(B157="课程建设",IF(I157="独立完成",1,IF(K157=1,0.7,IF(K157=2,0.3,IF(K157=3,0.1,IF(K157&gt;3,0.05))))),0)</f>
        <v>0</v>
      </c>
      <c r="X157" s="166">
        <f>IF(NOT(B157="课程建设"),IF(I157="独立完成",1,IF(K157=1,0.6,IF(AND(J157=2,K157=2),0.4,IF(AND(J157&gt;2,K157=2),0.3,IF(AND(J157&gt;2,K157=3),0.2,IF(AND(J157&gt;2,K157&gt;3),0.1,0)))))),0)</f>
        <v>0</v>
      </c>
      <c r="Y157" s="166">
        <f>IF(AND(B157="文化建设项目",E157="国家级"),40,IF(AND(B157="文化建设项目",E157="省级"),15,IF(AND(B157="文化建设项目",E157="市级"),10,IF(AND(B157="文化建设项目设",E157="校级"),3,0))))</f>
        <v>0</v>
      </c>
      <c r="Z157" s="31">
        <f>IF(AND(C157="产教融合项目",E157="国家级"),60,IF(AND(C157="产教融合项目",E157="省级"),20,IF(AND(C157="产教融合项目",E157="市级"),10,IF(AND(C157="产教融合项目",E157="校级"),0,0))))</f>
        <v>0</v>
      </c>
      <c r="AA157" s="31">
        <f>IF(AND(C157="辅导员名师",E157="国家级"),35,IF(AND(C157="辅导员名师",E157="省级"),15,IF(AND(C157="辅导员名师",E157="市级"),10,IF(AND(C157="辅导员名师",E157="校级"),5,0))))</f>
        <v>0</v>
      </c>
      <c r="AB157" s="31">
        <f>IF(AND(C157="教学名师",E157="国家级"),40,IF(AND(C157="教学名师",E157="省级"),15,IF(AND(C157="教学名师",E157="市级"),10,IF(AND(C157="教学名师",E157="校级"),5,0))))</f>
        <v>0</v>
      </c>
      <c r="AC157" s="31">
        <f>IF(AND(OR(C157="专业带头人",C157="学术带头人"),E157="国家级"),35,IF(AND(OR(C157="专业带头人",C157="学术带头人"),E157="省级"),15,IF(AND(OR(C157="专业带头人",C157="学术带头人"),E157="市级"),10,IF(AND(OR(C157="专业带头人",C157="学术带头人"),E157="校级"),5,0))))</f>
        <v>0</v>
      </c>
      <c r="AD157" s="31">
        <f>IF(AND(OR(C157="骨干教师",C157="科研骨干"),E157="国家级"),25,IF(AND(OR(C157="骨干教师",C157="科研骨干"),E157="省级"),10,IF(AND(OR(C157="骨干教师",C157="科研骨干"),E157="市级"),7,IF(AND(OR(C157="骨干教师",C157="科研骨干"),E157="校级"),5,0))))</f>
        <v>0</v>
      </c>
      <c r="AE157" s="31">
        <f>IF(AND(C157="学生团体荣誉",E157="国家级"),25,IF(AND(C157="学生团体荣誉",E157="省级"),10,IF(AND(C157="学生团体荣誉",E157="市级"),5,IF(AND(C157="学生团体荣誉",E157="校级"),3,0))))</f>
        <v>0</v>
      </c>
      <c r="AF157" s="31">
        <f>IF(AND(C157="技能大师",E157="国家级"),35,IF(AND(C157="技能大师",E157="省级"),15,IF(AND(C157="技能大师",E157="市级"),10,IF(AND(C157="技能大师",E157="校级"),5,0))))</f>
        <v>0</v>
      </c>
      <c r="AG157" s="31">
        <f>IF(AND(C157="社团指导教师",E157="国家级"),0,IF(AND(C157="教社团指导教师",E157="省级"),0,IF(AND(C157="社团指导教师",E157="市级"),0,IF(AND(C157="社团指导教师",E157="校级"),3,0))))</f>
        <v>0</v>
      </c>
      <c r="AH157" s="166">
        <f>IF(AND(OR(C157="党组织荣誉",C157="其他团体荣誉"),E157="国家级"),20,IF(AND(OR(C157="党组织荣誉",C157="其他团体荣誉"),E157="省级"),8,IF(AND(OR(C157="党组织荣誉",C157="其他团体荣誉"),E157="市级"),5,IF(AND(OR(C157="党组织荣誉",C157="其他团体荣誉"),E157="校级"),3,0))))</f>
        <v>0</v>
      </c>
      <c r="AI157" s="166">
        <f>IF(AND(C157="教师党支部书记",E157="国家级"),0,IF(AND(C157="教师党支部书记",E157="省级"),0,IF(AND(C157="教师党支部书记",E157="市级"),0,IF(AND(C157="教师党支部书记",E157="校级"),3,0))))</f>
        <v>0</v>
      </c>
      <c r="AJ157" s="248">
        <f>IF(AND(OR(C157="党务工作项目荣誉",C157="其他工作项目荣誉"),E157="国家级"),20,IF(AND(OR(C157="党务工作项目荣誉",C157="其他工作项目荣誉"),E157="省级"),8,IF(AND(OR(C157="党务工作项目荣誉",C157="其他工作项目荣誉"),E157="市级"),5,IF(AND(OR(C157="党务工作项目荣誉",C157="其他工作项目荣誉"),E157="校级"),3,0))))</f>
        <v>0</v>
      </c>
      <c r="AK157" s="133"/>
      <c r="AL157" s="133"/>
      <c r="AM157" s="133"/>
      <c r="AN157" s="133"/>
      <c r="AO157" s="133"/>
      <c r="AP157" s="133"/>
      <c r="AQ157" s="133"/>
      <c r="AR157" s="133"/>
      <c r="AS157" s="133"/>
      <c r="AT157" s="133"/>
      <c r="AU157" s="133"/>
      <c r="AV157" s="133"/>
      <c r="AW157" s="133"/>
      <c r="AX157" s="133"/>
      <c r="AY157" s="133"/>
      <c r="AZ157" s="133"/>
      <c r="BA157" s="133"/>
      <c r="BB157" s="133"/>
      <c r="BC157" s="133"/>
      <c r="BD157" s="133"/>
      <c r="BE157" s="133"/>
      <c r="BF157" s="133"/>
      <c r="BG157" s="133"/>
      <c r="BH157" s="133"/>
    </row>
    <row r="158" ht="31" customHeight="1" spans="1:60">
      <c r="A158" s="35"/>
      <c r="B158" s="135"/>
      <c r="C158" s="135"/>
      <c r="D158" s="135"/>
      <c r="E158" s="135"/>
      <c r="F158" s="136"/>
      <c r="G158" s="136"/>
      <c r="H158" s="173"/>
      <c r="I158" s="136"/>
      <c r="J158" s="156"/>
      <c r="K158" s="156"/>
      <c r="L158" s="170" t="str">
        <f>IF(B158&lt;&gt;"",IF(OR(B158="文化建设项目",B158="产教融合项目"),0,IF(OR(B158="个人荣誉",C158="社团指导教师"),1,W158+X158)),"")</f>
        <v/>
      </c>
      <c r="M158" s="170" t="str">
        <f>IF(B158&lt;&gt;"",(SUM(P158:V158)+SUM(Y158:AJ158))*L158,"")</f>
        <v/>
      </c>
      <c r="N158" s="158"/>
      <c r="O158" s="158"/>
      <c r="P158" s="31">
        <f>IF(AND(OR(C158="品牌（示范）专业",C158="双高专业群",C158="卓越校专业群"),E158="国家级"),40,IF(AND(OR(C158="品牌（示范）专业",C158="双高专业群",C158="卓越校专业群"),E158="省级"),15,IF(AND(OR(C158="品牌（示范）专业",C158="双高专业群",C158="卓越校专业群"),E158="市级"),10,IF(AND(OR(C158="品牌（示范）专业",C158="双高专业群",C158="卓越校专业群"),E158="校级"),3,0))))</f>
        <v>0</v>
      </c>
      <c r="Q158" s="31">
        <f>IF(AND(C158="五星级专业",E158="国家级"),30,IF(AND(C158="五星级专业",E158="省级"),10,IF(AND(C158="五星级专业",E158="市级"),5,IF(AND(C158="五星级专业",E158="校级"),2,0))))</f>
        <v>0</v>
      </c>
      <c r="R158" s="31">
        <f>IF(AND(C158="四星级专业",E158="国家级"),15,IF(AND(C158="四星级专业",E158="省级"),5,IF(AND(C158="四星级专业",E158="市级"),3,IF(AND(C158="四星级专业",E158="校级"),1,0))))</f>
        <v>0</v>
      </c>
      <c r="S158" s="31">
        <f>IF(AND(OR(C158="学徒制试点",C158="1+X 证书试点考点"),E158="国家级"),30,IF(AND(OR(C158="学徒制试点",C158="1+X 证书试点考点"),E158="省级"),10,IF(AND(OR(C158="学徒制试点",C158="1+X 证书试点考点"),E158="市级"),5,IF(AND(OR(C158="学徒制试点",C158="1+X 证书试点考点"),E158="校级"),2,0))))</f>
        <v>0</v>
      </c>
      <c r="T158" s="31">
        <f>IF(AND(C158="主持资源库建设",E158="国家级"),30,IF(AND(C158="主持资源库建设",E158="省级"),15,IF(AND(C158="主持资源库建设",E158="市级"),5,IF(AND(C158="主持资源库建设",E158="校级"),3,0))))</f>
        <v>0</v>
      </c>
      <c r="U158" s="31">
        <f>IF(AND(C158="参与资源库建设",E158="国家级"),10,IF(AND(C158="参与资源库建设",E158="省级"),5,IF(AND(C158="参与资源库建设",E158="市级"),2,IF(AND(C158="参与资源库建设",E158="校级"),0,0))))</f>
        <v>0</v>
      </c>
      <c r="V158" s="31">
        <f>IF(AND(B158="课程建设",E158="国家级"),25,IF(AND(B158="课程建设",E158="省级"),10,IF(AND(B158="课程建设",E158="市级"),5,IF(AND(B158="课程建设",E158="校级"),2,0))))</f>
        <v>0</v>
      </c>
      <c r="W158" s="31">
        <f>IF(B158="课程建设",IF(I158="独立完成",1,IF(K158=1,0.7,IF(K158=2,0.3,IF(K158=3,0.1,IF(K158&gt;3,0.05))))),0)</f>
        <v>0</v>
      </c>
      <c r="X158" s="166">
        <f>IF(NOT(B158="课程建设"),IF(I158="独立完成",1,IF(K158=1,0.6,IF(AND(J158=2,K158=2),0.4,IF(AND(J158&gt;2,K158=2),0.3,IF(AND(J158&gt;2,K158=3),0.2,IF(AND(J158&gt;2,K158&gt;3),0.1,0)))))),0)</f>
        <v>0</v>
      </c>
      <c r="Y158" s="166">
        <f>IF(AND(B158="文化建设项目",E158="国家级"),40,IF(AND(B158="文化建设项目",E158="省级"),15,IF(AND(B158="文化建设项目",E158="市级"),10,IF(AND(B158="文化建设项目设",E158="校级"),3,0))))</f>
        <v>0</v>
      </c>
      <c r="Z158" s="31">
        <f>IF(AND(C158="产教融合项目",E158="国家级"),60,IF(AND(C158="产教融合项目",E158="省级"),20,IF(AND(C158="产教融合项目",E158="市级"),10,IF(AND(C158="产教融合项目",E158="校级"),0,0))))</f>
        <v>0</v>
      </c>
      <c r="AA158" s="31">
        <f>IF(AND(C158="辅导员名师",E158="国家级"),35,IF(AND(C158="辅导员名师",E158="省级"),15,IF(AND(C158="辅导员名师",E158="市级"),10,IF(AND(C158="辅导员名师",E158="校级"),5,0))))</f>
        <v>0</v>
      </c>
      <c r="AB158" s="31">
        <f>IF(AND(C158="教学名师",E158="国家级"),40,IF(AND(C158="教学名师",E158="省级"),15,IF(AND(C158="教学名师",E158="市级"),10,IF(AND(C158="教学名师",E158="校级"),5,0))))</f>
        <v>0</v>
      </c>
      <c r="AC158" s="31">
        <f>IF(AND(OR(C158="专业带头人",C158="学术带头人"),E158="国家级"),35,IF(AND(OR(C158="专业带头人",C158="学术带头人"),E158="省级"),15,IF(AND(OR(C158="专业带头人",C158="学术带头人"),E158="市级"),10,IF(AND(OR(C158="专业带头人",C158="学术带头人"),E158="校级"),5,0))))</f>
        <v>0</v>
      </c>
      <c r="AD158" s="31">
        <f>IF(AND(OR(C158="骨干教师",C158="科研骨干"),E158="国家级"),25,IF(AND(OR(C158="骨干教师",C158="科研骨干"),E158="省级"),10,IF(AND(OR(C158="骨干教师",C158="科研骨干"),E158="市级"),7,IF(AND(OR(C158="骨干教师",C158="科研骨干"),E158="校级"),5,0))))</f>
        <v>0</v>
      </c>
      <c r="AE158" s="31">
        <f>IF(AND(C158="学生团体荣誉",E158="国家级"),25,IF(AND(C158="学生团体荣誉",E158="省级"),10,IF(AND(C158="学生团体荣誉",E158="市级"),5,IF(AND(C158="学生团体荣誉",E158="校级"),3,0))))</f>
        <v>0</v>
      </c>
      <c r="AF158" s="31">
        <f>IF(AND(C158="技能大师",E158="国家级"),35,IF(AND(C158="技能大师",E158="省级"),15,IF(AND(C158="技能大师",E158="市级"),10,IF(AND(C158="技能大师",E158="校级"),5,0))))</f>
        <v>0</v>
      </c>
      <c r="AG158" s="31">
        <f>IF(AND(C158="社团指导教师",E158="国家级"),0,IF(AND(C158="教社团指导教师",E158="省级"),0,IF(AND(C158="社团指导教师",E158="市级"),0,IF(AND(C158="社团指导教师",E158="校级"),3,0))))</f>
        <v>0</v>
      </c>
      <c r="AH158" s="166">
        <f>IF(AND(OR(C158="党组织荣誉",C158="其他团体荣誉"),E158="国家级"),20,IF(AND(OR(C158="党组织荣誉",C158="其他团体荣誉"),E158="省级"),8,IF(AND(OR(C158="党组织荣誉",C158="其他团体荣誉"),E158="市级"),5,IF(AND(OR(C158="党组织荣誉",C158="其他团体荣誉"),E158="校级"),3,0))))</f>
        <v>0</v>
      </c>
      <c r="AI158" s="166">
        <f>IF(AND(C158="教师党支部书记",E158="国家级"),0,IF(AND(C158="教师党支部书记",E158="省级"),0,IF(AND(C158="教师党支部书记",E158="市级"),0,IF(AND(C158="教师党支部书记",E158="校级"),3,0))))</f>
        <v>0</v>
      </c>
      <c r="AJ158" s="248">
        <f>IF(AND(OR(C158="党务工作项目荣誉",C158="其他工作项目荣誉"),E158="国家级"),20,IF(AND(OR(C158="党务工作项目荣誉",C158="其他工作项目荣誉"),E158="省级"),8,IF(AND(OR(C158="党务工作项目荣誉",C158="其他工作项目荣誉"),E158="市级"),5,IF(AND(OR(C158="党务工作项目荣誉",C158="其他工作项目荣誉"),E158="校级"),3,0))))</f>
        <v>0</v>
      </c>
      <c r="AK158" s="133"/>
      <c r="AL158" s="133"/>
      <c r="AM158" s="133"/>
      <c r="AN158" s="133"/>
      <c r="AO158" s="133"/>
      <c r="AP158" s="133"/>
      <c r="AQ158" s="133"/>
      <c r="AR158" s="133"/>
      <c r="AS158" s="133"/>
      <c r="AT158" s="133"/>
      <c r="AU158" s="133"/>
      <c r="AV158" s="133"/>
      <c r="AW158" s="133"/>
      <c r="AX158" s="133"/>
      <c r="AY158" s="133"/>
      <c r="AZ158" s="133"/>
      <c r="BA158" s="133"/>
      <c r="BB158" s="133"/>
      <c r="BC158" s="133"/>
      <c r="BD158" s="133"/>
      <c r="BE158" s="133"/>
      <c r="BF158" s="133"/>
      <c r="BG158" s="133"/>
      <c r="BH158" s="133"/>
    </row>
    <row r="159" ht="31" customHeight="1" spans="1:60">
      <c r="A159" s="35"/>
      <c r="B159" s="138" t="s">
        <v>57</v>
      </c>
      <c r="C159" s="139"/>
      <c r="D159" s="139"/>
      <c r="E159" s="139"/>
      <c r="F159" s="139"/>
      <c r="G159" s="139"/>
      <c r="H159" s="139"/>
      <c r="I159" s="139"/>
      <c r="J159" s="139"/>
      <c r="K159" s="139"/>
      <c r="L159" s="159"/>
      <c r="M159" s="170">
        <f>IF(M156&lt;&gt;"",SUM(M156:M158),0)</f>
        <v>0</v>
      </c>
      <c r="N159" s="171"/>
      <c r="O159" s="171"/>
      <c r="AK159" s="133"/>
      <c r="AL159" s="133"/>
      <c r="AM159" s="133"/>
      <c r="AN159" s="133"/>
      <c r="AO159" s="133"/>
      <c r="AP159" s="133"/>
      <c r="AQ159" s="133"/>
      <c r="AR159" s="133"/>
      <c r="AS159" s="133"/>
      <c r="AT159" s="133"/>
      <c r="AU159" s="133"/>
      <c r="AV159" s="133"/>
      <c r="AW159" s="133"/>
      <c r="AX159" s="133"/>
      <c r="AY159" s="133"/>
      <c r="AZ159" s="133"/>
      <c r="BA159" s="133"/>
      <c r="BB159" s="133"/>
      <c r="BC159" s="133"/>
      <c r="BD159" s="133"/>
      <c r="BE159" s="133"/>
      <c r="BF159" s="133"/>
      <c r="BG159" s="133"/>
      <c r="BH159" s="133"/>
    </row>
    <row r="160" ht="15" customHeight="1" spans="1:60">
      <c r="A160" s="35"/>
      <c r="B160" s="56"/>
      <c r="C160" s="57"/>
      <c r="D160" s="57"/>
      <c r="E160" s="56"/>
      <c r="F160" s="58"/>
      <c r="G160" s="56"/>
      <c r="H160" s="59"/>
      <c r="I160" s="59"/>
      <c r="J160" s="114"/>
      <c r="K160" s="115"/>
      <c r="L160" s="115"/>
      <c r="M160" s="116"/>
      <c r="N160" s="116"/>
      <c r="O160" s="107"/>
      <c r="P160" s="104"/>
      <c r="AK160" s="133"/>
      <c r="AL160" s="133"/>
      <c r="AM160" s="133"/>
      <c r="AN160" s="133"/>
      <c r="AO160" s="133"/>
      <c r="AP160" s="133"/>
      <c r="AQ160" s="133"/>
      <c r="AR160" s="133"/>
      <c r="AS160" s="133"/>
      <c r="AT160" s="133"/>
      <c r="AU160" s="133"/>
      <c r="AV160" s="133"/>
      <c r="AW160" s="133"/>
      <c r="AX160" s="133"/>
      <c r="AY160" s="133"/>
      <c r="AZ160" s="133"/>
      <c r="BA160" s="133"/>
      <c r="BB160" s="133"/>
      <c r="BC160" s="133"/>
      <c r="BD160" s="133"/>
      <c r="BE160" s="133"/>
      <c r="BF160" s="133"/>
      <c r="BG160" s="133"/>
      <c r="BH160" s="133"/>
    </row>
    <row r="161" ht="27" customHeight="1" spans="1:60">
      <c r="A161" s="35"/>
      <c r="B161" s="76" t="s">
        <v>233</v>
      </c>
      <c r="C161" s="76"/>
      <c r="D161" s="76"/>
      <c r="E161" s="76"/>
      <c r="F161" s="76"/>
      <c r="G161" s="76"/>
      <c r="H161" s="76"/>
      <c r="I161" s="76"/>
      <c r="J161" s="76"/>
      <c r="K161" s="76"/>
      <c r="L161" s="76"/>
      <c r="M161" s="76"/>
      <c r="N161" s="76"/>
      <c r="O161" s="76"/>
      <c r="AK161" s="133"/>
      <c r="AL161" s="133"/>
      <c r="AM161" s="133"/>
      <c r="AN161" s="133"/>
      <c r="AO161" s="133"/>
      <c r="AP161" s="133"/>
      <c r="AQ161" s="133"/>
      <c r="AR161" s="133"/>
      <c r="AS161" s="133"/>
      <c r="AT161" s="133"/>
      <c r="AU161" s="133"/>
      <c r="AV161" s="133"/>
      <c r="AW161" s="133"/>
      <c r="AX161" s="133"/>
      <c r="AY161" s="133"/>
      <c r="AZ161" s="133"/>
      <c r="BA161" s="133"/>
      <c r="BB161" s="133"/>
      <c r="BC161" s="133"/>
      <c r="BD161" s="133"/>
      <c r="BE161" s="133"/>
      <c r="BF161" s="133"/>
      <c r="BG161" s="133"/>
      <c r="BH161" s="133"/>
    </row>
    <row r="162" ht="27" customHeight="1" spans="1:60">
      <c r="A162" s="35"/>
      <c r="B162" s="184" t="s">
        <v>234</v>
      </c>
      <c r="C162" s="185" t="s">
        <v>235</v>
      </c>
      <c r="D162" s="186"/>
      <c r="E162" s="187"/>
      <c r="F162" s="188" t="s">
        <v>236</v>
      </c>
      <c r="G162" s="189"/>
      <c r="H162" s="190" t="s">
        <v>237</v>
      </c>
      <c r="I162" s="190"/>
      <c r="J162" s="190"/>
      <c r="K162" s="218" t="s">
        <v>236</v>
      </c>
      <c r="L162" s="219"/>
      <c r="M162" s="220"/>
      <c r="N162" s="221" t="s">
        <v>238</v>
      </c>
      <c r="O162" s="222"/>
      <c r="AK162" s="133"/>
      <c r="AL162" s="133"/>
      <c r="AM162" s="133"/>
      <c r="AN162" s="133"/>
      <c r="AO162" s="133"/>
      <c r="AP162" s="133"/>
      <c r="AQ162" s="133"/>
      <c r="AR162" s="133"/>
      <c r="AS162" s="133"/>
      <c r="AT162" s="133"/>
      <c r="AU162" s="133"/>
      <c r="AV162" s="133"/>
      <c r="AW162" s="133"/>
      <c r="AX162" s="133"/>
      <c r="AY162" s="133"/>
      <c r="AZ162" s="133"/>
      <c r="BA162" s="133"/>
      <c r="BB162" s="133"/>
      <c r="BC162" s="133"/>
      <c r="BD162" s="133"/>
      <c r="BE162" s="133"/>
      <c r="BF162" s="133"/>
      <c r="BG162" s="133"/>
      <c r="BH162" s="133"/>
    </row>
    <row r="163" ht="27" customHeight="1" spans="1:60">
      <c r="A163" s="35"/>
      <c r="B163" s="191"/>
      <c r="C163" s="192">
        <f>IF(D26&lt;&gt;"",IF(D26="学士",2,IF(D26="硕士",3,IF(D26="博士",5,IF(D26="无学位（本科毕业）",1,0)))),0)</f>
        <v>0</v>
      </c>
      <c r="D163" s="193"/>
      <c r="E163" s="194"/>
      <c r="F163" s="192" t="str">
        <f ca="1">IF(C163&lt;&gt;"",P27,"")</f>
        <v>不满足</v>
      </c>
      <c r="G163" s="194"/>
      <c r="H163" s="195">
        <f ca="1">IF(N28&lt;&gt;"",N28*1,0)</f>
        <v>0</v>
      </c>
      <c r="I163" s="195"/>
      <c r="J163" s="195"/>
      <c r="K163" s="195" t="str">
        <f ca="1">IF(H163&lt;&gt;"",Q27,"")</f>
        <v>不满足</v>
      </c>
      <c r="L163" s="195"/>
      <c r="M163" s="195"/>
      <c r="N163" s="221">
        <f ca="1">C163+H163</f>
        <v>0</v>
      </c>
      <c r="O163" s="222"/>
      <c r="AK163" s="133"/>
      <c r="AL163" s="133"/>
      <c r="AM163" s="133"/>
      <c r="AN163" s="133"/>
      <c r="AO163" s="133"/>
      <c r="AP163" s="133"/>
      <c r="AQ163" s="133"/>
      <c r="AR163" s="133"/>
      <c r="AS163" s="133"/>
      <c r="AT163" s="133"/>
      <c r="AU163" s="133"/>
      <c r="AV163" s="133"/>
      <c r="AW163" s="133"/>
      <c r="AX163" s="133"/>
      <c r="AY163" s="133"/>
      <c r="AZ163" s="133"/>
      <c r="BA163" s="133"/>
      <c r="BB163" s="133"/>
      <c r="BC163" s="133"/>
      <c r="BD163" s="133"/>
      <c r="BE163" s="133"/>
      <c r="BF163" s="133"/>
      <c r="BG163" s="133"/>
      <c r="BH163" s="133"/>
    </row>
    <row r="164" ht="27" customHeight="1" spans="1:60">
      <c r="A164" s="35"/>
      <c r="B164" s="196" t="s">
        <v>239</v>
      </c>
      <c r="C164" s="197" t="s">
        <v>240</v>
      </c>
      <c r="D164" s="198"/>
      <c r="E164" s="199" t="s">
        <v>241</v>
      </c>
      <c r="F164" s="197" t="s">
        <v>242</v>
      </c>
      <c r="G164" s="200"/>
      <c r="H164" s="197" t="s">
        <v>243</v>
      </c>
      <c r="I164" s="198"/>
      <c r="J164" s="197" t="s">
        <v>244</v>
      </c>
      <c r="K164" s="198"/>
      <c r="L164" s="223" t="s">
        <v>245</v>
      </c>
      <c r="M164" s="223"/>
      <c r="N164" s="224" t="s">
        <v>246</v>
      </c>
      <c r="O164" s="225"/>
      <c r="AK164" s="133"/>
      <c r="AL164" s="133"/>
      <c r="AM164" s="133"/>
      <c r="AN164" s="133"/>
      <c r="AO164" s="133"/>
      <c r="AP164" s="133"/>
      <c r="AQ164" s="133"/>
      <c r="AR164" s="133"/>
      <c r="AS164" s="133"/>
      <c r="AT164" s="133"/>
      <c r="AU164" s="133"/>
      <c r="AV164" s="133"/>
      <c r="AW164" s="133"/>
      <c r="AX164" s="133"/>
      <c r="AY164" s="133"/>
      <c r="AZ164" s="133"/>
      <c r="BA164" s="133"/>
      <c r="BB164" s="133"/>
      <c r="BC164" s="133"/>
      <c r="BD164" s="133"/>
      <c r="BE164" s="133"/>
      <c r="BF164" s="133"/>
      <c r="BG164" s="133"/>
      <c r="BH164" s="133"/>
    </row>
    <row r="165" ht="27" customHeight="1" spans="1:60">
      <c r="A165" s="35"/>
      <c r="B165" s="201"/>
      <c r="C165" s="192">
        <f>IF(C32&lt;&gt;"",3,0)</f>
        <v>0</v>
      </c>
      <c r="D165" s="194"/>
      <c r="E165" s="195" t="str">
        <f ca="1">IF(OR(AND(N25&lt;&gt;"",N25&gt;=40),AND(C165&lt;&gt;"",C165&gt;1)),"满足","不满足")</f>
        <v>不满足</v>
      </c>
      <c r="F165" s="192">
        <f>IF(SUM(P35:S35)&gt;0,P35,0)</f>
        <v>0</v>
      </c>
      <c r="G165" s="194"/>
      <c r="H165" s="192" t="str">
        <f>IF(OR(SUM(P35:R35)&lt;6,S35&gt;0),"不满足","满足")</f>
        <v>不满足</v>
      </c>
      <c r="I165" s="194"/>
      <c r="J165" s="192" t="str">
        <f>IF(C37&lt;&gt;"",IF(P37&gt;0,"满足","不满足"),"不满足")</f>
        <v>不满足</v>
      </c>
      <c r="K165" s="194"/>
      <c r="L165" s="226">
        <f>IF(P41&lt;&gt;"",IF(P41&gt;5,5,IF(P41&lt;=0,0,P41)),0)</f>
        <v>0</v>
      </c>
      <c r="M165" s="226"/>
      <c r="N165" s="227" t="str">
        <f>IF(K29&lt;&gt;"",Q41,"不满足")</f>
        <v>不满足</v>
      </c>
      <c r="O165" s="228"/>
      <c r="AK165" s="133"/>
      <c r="AL165" s="133"/>
      <c r="AM165" s="133"/>
      <c r="AN165" s="133"/>
      <c r="AO165" s="133"/>
      <c r="AP165" s="133"/>
      <c r="AQ165" s="133"/>
      <c r="AR165" s="133"/>
      <c r="AS165" s="133"/>
      <c r="AT165" s="133"/>
      <c r="AU165" s="133"/>
      <c r="AV165" s="133"/>
      <c r="AW165" s="133"/>
      <c r="AX165" s="133"/>
      <c r="AY165" s="133"/>
      <c r="AZ165" s="133"/>
      <c r="BA165" s="133"/>
      <c r="BB165" s="133"/>
      <c r="BC165" s="133"/>
      <c r="BD165" s="133"/>
      <c r="BE165" s="133"/>
      <c r="BF165" s="133"/>
      <c r="BG165" s="133"/>
      <c r="BH165" s="133"/>
    </row>
    <row r="166" ht="27" customHeight="1" spans="1:60">
      <c r="A166" s="35"/>
      <c r="B166" s="201"/>
      <c r="C166" s="202" t="s">
        <v>58</v>
      </c>
      <c r="D166" s="203"/>
      <c r="E166" s="199" t="s">
        <v>59</v>
      </c>
      <c r="F166" s="204" t="s">
        <v>247</v>
      </c>
      <c r="G166" s="205"/>
      <c r="H166" s="197" t="s">
        <v>248</v>
      </c>
      <c r="I166" s="229"/>
      <c r="J166" s="229"/>
      <c r="K166" s="229"/>
      <c r="L166" s="230" t="s">
        <v>76</v>
      </c>
      <c r="M166" s="231"/>
      <c r="N166" s="232" t="s">
        <v>249</v>
      </c>
      <c r="O166" s="233"/>
      <c r="AK166" s="133"/>
      <c r="AL166" s="133"/>
      <c r="AM166" s="133"/>
      <c r="AN166" s="133"/>
      <c r="AO166" s="133"/>
      <c r="AP166" s="133"/>
      <c r="AQ166" s="133"/>
      <c r="AR166" s="133"/>
      <c r="AS166" s="133"/>
      <c r="AT166" s="133"/>
      <c r="AU166" s="133"/>
      <c r="AV166" s="133"/>
      <c r="AW166" s="133"/>
      <c r="AX166" s="133"/>
      <c r="AY166" s="133"/>
      <c r="AZ166" s="133"/>
      <c r="BA166" s="133"/>
      <c r="BB166" s="133"/>
      <c r="BC166" s="133"/>
      <c r="BD166" s="133"/>
      <c r="BE166" s="133"/>
      <c r="BF166" s="133"/>
      <c r="BG166" s="133"/>
      <c r="BH166" s="133"/>
    </row>
    <row r="167" ht="27" customHeight="1" spans="1:60">
      <c r="A167" s="35"/>
      <c r="B167" s="206"/>
      <c r="C167" s="192">
        <f>IF(AND(P45&lt;&gt;"",P45&gt;0),P45,0)</f>
        <v>0</v>
      </c>
      <c r="D167" s="194"/>
      <c r="E167" s="195" t="str">
        <f>IF(K29&lt;&gt;"",Q45,"不满足")</f>
        <v>不满足</v>
      </c>
      <c r="F167" s="192">
        <f>IF(SUM(P47:Q47)&gt;0,SUM(P47:Q47),0)</f>
        <v>0</v>
      </c>
      <c r="G167" s="194"/>
      <c r="H167" s="192" t="str">
        <f>IF(F167&lt;&gt;"",IF(P47&gt;0,"满足","不满足"),"")</f>
        <v>不满足</v>
      </c>
      <c r="I167" s="193"/>
      <c r="J167" s="193"/>
      <c r="K167" s="193"/>
      <c r="L167" s="226">
        <f>IF(P60&gt;0,P60,0)</f>
        <v>0</v>
      </c>
      <c r="M167" s="234"/>
      <c r="N167" s="235">
        <f>C165+F165+L165+C167+F167+L167</f>
        <v>0</v>
      </c>
      <c r="O167" s="235"/>
      <c r="AK167" s="133"/>
      <c r="AL167" s="133"/>
      <c r="AM167" s="133"/>
      <c r="AN167" s="133"/>
      <c r="AO167" s="133"/>
      <c r="AP167" s="133"/>
      <c r="AQ167" s="133"/>
      <c r="AR167" s="133"/>
      <c r="AS167" s="133"/>
      <c r="AT167" s="133"/>
      <c r="AU167" s="133"/>
      <c r="AV167" s="133"/>
      <c r="AW167" s="133"/>
      <c r="AX167" s="133"/>
      <c r="AY167" s="133"/>
      <c r="AZ167" s="133"/>
      <c r="BA167" s="133"/>
      <c r="BB167" s="133"/>
      <c r="BC167" s="133"/>
      <c r="BD167" s="133"/>
      <c r="BE167" s="133"/>
      <c r="BF167" s="133"/>
      <c r="BG167" s="133"/>
      <c r="BH167" s="133"/>
    </row>
    <row r="168" ht="27" customHeight="1" spans="1:60">
      <c r="A168" s="35"/>
      <c r="B168" s="196" t="s">
        <v>250</v>
      </c>
      <c r="C168" s="197" t="s">
        <v>251</v>
      </c>
      <c r="D168" s="198"/>
      <c r="E168" s="199" t="s">
        <v>252</v>
      </c>
      <c r="F168" s="197" t="s">
        <v>253</v>
      </c>
      <c r="G168" s="200"/>
      <c r="H168" s="197" t="s">
        <v>254</v>
      </c>
      <c r="I168" s="198"/>
      <c r="J168" s="197" t="s">
        <v>255</v>
      </c>
      <c r="K168" s="198"/>
      <c r="L168" s="236" t="s">
        <v>256</v>
      </c>
      <c r="M168" s="237"/>
      <c r="N168" s="238" t="s">
        <v>257</v>
      </c>
      <c r="O168" s="238"/>
      <c r="P168" s="120"/>
      <c r="Q168" s="120"/>
      <c r="R168" s="120"/>
      <c r="S168" s="247"/>
      <c r="T168" s="120"/>
      <c r="U168" s="120"/>
      <c r="V168" s="120"/>
      <c r="AK168" s="133"/>
      <c r="AL168" s="133"/>
      <c r="AM168" s="133"/>
      <c r="AN168" s="133"/>
      <c r="AO168" s="133"/>
      <c r="AP168" s="133"/>
      <c r="AQ168" s="133"/>
      <c r="AR168" s="133"/>
      <c r="AS168" s="133"/>
      <c r="AT168" s="133"/>
      <c r="AU168" s="133"/>
      <c r="AV168" s="133"/>
      <c r="AW168" s="133"/>
      <c r="AX168" s="133"/>
      <c r="AY168" s="133"/>
      <c r="AZ168" s="133"/>
      <c r="BA168" s="133"/>
      <c r="BB168" s="133"/>
      <c r="BC168" s="133"/>
      <c r="BD168" s="133"/>
      <c r="BE168" s="133"/>
      <c r="BF168" s="133"/>
      <c r="BG168" s="133"/>
      <c r="BH168" s="133"/>
    </row>
    <row r="169" ht="27" customHeight="1" spans="1:60">
      <c r="A169" s="35"/>
      <c r="B169" s="201"/>
      <c r="C169" s="192">
        <f>M76</f>
        <v>0</v>
      </c>
      <c r="D169" s="194"/>
      <c r="E169" s="195">
        <f>M81</f>
        <v>0</v>
      </c>
      <c r="F169" s="192" t="str">
        <f>IF(OR(SUM(AB72:AB75)&gt;=3,SUM(AB79:AD80)&gt;0),"满足","不满足")</f>
        <v>不满足</v>
      </c>
      <c r="G169" s="194"/>
      <c r="H169" s="192">
        <f>M89</f>
        <v>0</v>
      </c>
      <c r="I169" s="194"/>
      <c r="J169" s="192">
        <f>M94</f>
        <v>0</v>
      </c>
      <c r="K169" s="194"/>
      <c r="L169" s="227">
        <f>M99</f>
        <v>0</v>
      </c>
      <c r="M169" s="239"/>
      <c r="N169" s="226" t="str">
        <f>IF(OR(SUM(Y84:AB88)&gt;0,SUM(V92:Y93)&gt;0),"满足","不满足")</f>
        <v>不满足</v>
      </c>
      <c r="O169" s="226"/>
      <c r="P169" s="31"/>
      <c r="Q169" s="31"/>
      <c r="S169" s="31"/>
      <c r="AK169" s="133"/>
      <c r="AL169" s="133"/>
      <c r="AM169" s="133"/>
      <c r="AN169" s="133"/>
      <c r="AO169" s="133"/>
      <c r="AP169" s="133"/>
      <c r="AQ169" s="133"/>
      <c r="AR169" s="133"/>
      <c r="AS169" s="133"/>
      <c r="AT169" s="133"/>
      <c r="AU169" s="133"/>
      <c r="AV169" s="133"/>
      <c r="AW169" s="133"/>
      <c r="AX169" s="133"/>
      <c r="AY169" s="133"/>
      <c r="AZ169" s="133"/>
      <c r="BA169" s="133"/>
      <c r="BB169" s="133"/>
      <c r="BC169" s="133"/>
      <c r="BD169" s="133"/>
      <c r="BE169" s="133"/>
      <c r="BF169" s="133"/>
      <c r="BG169" s="133"/>
      <c r="BH169" s="133"/>
    </row>
    <row r="170" ht="27" customHeight="1" spans="1:60">
      <c r="A170" s="35"/>
      <c r="B170" s="201"/>
      <c r="C170" s="204" t="s">
        <v>258</v>
      </c>
      <c r="D170" s="207"/>
      <c r="E170" s="199" t="s">
        <v>259</v>
      </c>
      <c r="F170" s="204" t="s">
        <v>260</v>
      </c>
      <c r="G170" s="207"/>
      <c r="H170" s="204" t="s">
        <v>261</v>
      </c>
      <c r="I170" s="211"/>
      <c r="J170" s="207"/>
      <c r="K170" s="204" t="s">
        <v>262</v>
      </c>
      <c r="L170" s="211"/>
      <c r="M170" s="207"/>
      <c r="N170" s="204" t="s">
        <v>263</v>
      </c>
      <c r="O170" s="207"/>
      <c r="AK170" s="133"/>
      <c r="AL170" s="133"/>
      <c r="AM170" s="133"/>
      <c r="AN170" s="133"/>
      <c r="AO170" s="133"/>
      <c r="AP170" s="133"/>
      <c r="AQ170" s="133"/>
      <c r="AR170" s="133"/>
      <c r="AS170" s="133"/>
      <c r="AT170" s="133"/>
      <c r="AU170" s="133"/>
      <c r="AV170" s="133"/>
      <c r="AW170" s="133"/>
      <c r="AX170" s="133"/>
      <c r="AY170" s="133"/>
      <c r="AZ170" s="133"/>
      <c r="BA170" s="133"/>
      <c r="BB170" s="133"/>
      <c r="BC170" s="133"/>
      <c r="BD170" s="133"/>
      <c r="BE170" s="133"/>
      <c r="BF170" s="133"/>
      <c r="BG170" s="133"/>
      <c r="BH170" s="133"/>
    </row>
    <row r="171" ht="27" customHeight="1" spans="1:60">
      <c r="A171" s="35"/>
      <c r="B171" s="201"/>
      <c r="C171" s="208">
        <f>M104</f>
        <v>0</v>
      </c>
      <c r="D171" s="209"/>
      <c r="E171" s="210">
        <f>IF(P106&gt;0,3,0)</f>
        <v>0</v>
      </c>
      <c r="F171" s="208">
        <f>M111</f>
        <v>0</v>
      </c>
      <c r="G171" s="209"/>
      <c r="H171" s="208" t="str">
        <f>IF(OR(SUM(Q102:S103)&gt;0,P106&gt;0),"满足","不满足")</f>
        <v>不满足</v>
      </c>
      <c r="I171" s="240"/>
      <c r="J171" s="209"/>
      <c r="K171" s="208">
        <f>M117</f>
        <v>0</v>
      </c>
      <c r="L171" s="240"/>
      <c r="M171" s="209"/>
      <c r="N171" s="202" t="str">
        <f>IF(SUM(V114:V116)&gt;0,"满足","不满足")</f>
        <v>不满足</v>
      </c>
      <c r="O171" s="203"/>
      <c r="AK171" s="133"/>
      <c r="AL171" s="133"/>
      <c r="AM171" s="133"/>
      <c r="AN171" s="133"/>
      <c r="AO171" s="133"/>
      <c r="AP171" s="133"/>
      <c r="AQ171" s="133"/>
      <c r="AR171" s="133"/>
      <c r="AS171" s="133"/>
      <c r="AT171" s="133"/>
      <c r="AU171" s="133"/>
      <c r="AV171" s="133"/>
      <c r="AW171" s="133"/>
      <c r="AX171" s="133"/>
      <c r="AY171" s="133"/>
      <c r="AZ171" s="133"/>
      <c r="BA171" s="133"/>
      <c r="BB171" s="133"/>
      <c r="BC171" s="133"/>
      <c r="BD171" s="133"/>
      <c r="BE171" s="133"/>
      <c r="BF171" s="133"/>
      <c r="BG171" s="133"/>
      <c r="BH171" s="133"/>
    </row>
    <row r="172" ht="27" customHeight="1" spans="1:60">
      <c r="A172" s="35"/>
      <c r="B172" s="201"/>
      <c r="C172" s="197" t="s">
        <v>264</v>
      </c>
      <c r="D172" s="198"/>
      <c r="E172" s="199" t="s">
        <v>265</v>
      </c>
      <c r="F172" s="199"/>
      <c r="G172" s="199" t="s">
        <v>266</v>
      </c>
      <c r="H172" s="197" t="s">
        <v>267</v>
      </c>
      <c r="I172" s="198"/>
      <c r="J172" s="199" t="s">
        <v>268</v>
      </c>
      <c r="K172" s="197" t="s">
        <v>269</v>
      </c>
      <c r="L172" s="229"/>
      <c r="M172" s="198"/>
      <c r="N172" s="236" t="s">
        <v>270</v>
      </c>
      <c r="O172" s="241"/>
      <c r="P172" s="120"/>
      <c r="Q172" s="120"/>
      <c r="R172" s="120"/>
      <c r="S172" s="247"/>
      <c r="T172" s="120"/>
      <c r="U172" s="120"/>
      <c r="V172" s="120"/>
      <c r="AK172" s="133"/>
      <c r="AL172" s="133"/>
      <c r="AM172" s="133"/>
      <c r="AN172" s="133"/>
      <c r="AO172" s="133"/>
      <c r="AP172" s="133"/>
      <c r="AQ172" s="133"/>
      <c r="AR172" s="133"/>
      <c r="AS172" s="133"/>
      <c r="AT172" s="133"/>
      <c r="AU172" s="133"/>
      <c r="AV172" s="133"/>
      <c r="AW172" s="133"/>
      <c r="AX172" s="133"/>
      <c r="AY172" s="133"/>
      <c r="AZ172" s="133"/>
      <c r="BA172" s="133"/>
      <c r="BB172" s="133"/>
      <c r="BC172" s="133"/>
      <c r="BD172" s="133"/>
      <c r="BE172" s="133"/>
      <c r="BF172" s="133"/>
      <c r="BG172" s="133"/>
      <c r="BH172" s="133"/>
    </row>
    <row r="173" ht="27" customHeight="1" spans="1:60">
      <c r="A173" s="35"/>
      <c r="B173" s="201"/>
      <c r="C173" s="192">
        <f>M123</f>
        <v>0</v>
      </c>
      <c r="D173" s="194"/>
      <c r="E173" s="195" t="str">
        <f>IF(SUM(S120:T122)&gt;0,"满足","不满足")</f>
        <v>不满足</v>
      </c>
      <c r="F173" s="195"/>
      <c r="G173" s="195">
        <f>M129</f>
        <v>0</v>
      </c>
      <c r="H173" s="192" t="str">
        <f>IF(SUM(R126:R128)&gt;1,"满足","不满足")</f>
        <v>不满足</v>
      </c>
      <c r="I173" s="194"/>
      <c r="J173" s="195">
        <f>M135</f>
        <v>0</v>
      </c>
      <c r="K173" s="192" t="str">
        <f>IF(SUM(V132:W134)&gt;0,"满足","不满足")</f>
        <v>不满足</v>
      </c>
      <c r="L173" s="193"/>
      <c r="M173" s="194"/>
      <c r="N173" s="227">
        <f>M148</f>
        <v>0</v>
      </c>
      <c r="O173" s="228"/>
      <c r="P173" s="31"/>
      <c r="Q173" s="31"/>
      <c r="S173" s="31"/>
      <c r="AK173" s="133"/>
      <c r="AL173" s="133"/>
      <c r="AM173" s="133"/>
      <c r="AN173" s="133"/>
      <c r="AO173" s="133"/>
      <c r="AP173" s="133"/>
      <c r="AQ173" s="133"/>
      <c r="AR173" s="133"/>
      <c r="AS173" s="133"/>
      <c r="AT173" s="133"/>
      <c r="AU173" s="133"/>
      <c r="AV173" s="133"/>
      <c r="AW173" s="133"/>
      <c r="AX173" s="133"/>
      <c r="AY173" s="133"/>
      <c r="AZ173" s="133"/>
      <c r="BA173" s="133"/>
      <c r="BB173" s="133"/>
      <c r="BC173" s="133"/>
      <c r="BD173" s="133"/>
      <c r="BE173" s="133"/>
      <c r="BF173" s="133"/>
      <c r="BG173" s="133"/>
      <c r="BH173" s="133"/>
    </row>
    <row r="174" ht="27" customHeight="1" spans="1:60">
      <c r="A174" s="35"/>
      <c r="B174" s="201"/>
      <c r="C174" s="204" t="s">
        <v>271</v>
      </c>
      <c r="D174" s="207"/>
      <c r="E174" s="204" t="s">
        <v>272</v>
      </c>
      <c r="F174" s="211"/>
      <c r="G174" s="207"/>
      <c r="H174" s="204" t="s">
        <v>273</v>
      </c>
      <c r="I174" s="211"/>
      <c r="J174" s="207"/>
      <c r="K174" s="204"/>
      <c r="L174" s="211"/>
      <c r="M174" s="207"/>
      <c r="N174" s="232" t="s">
        <v>274</v>
      </c>
      <c r="O174" s="233"/>
      <c r="AK174" s="133"/>
      <c r="AL174" s="133"/>
      <c r="AM174" s="133"/>
      <c r="AN174" s="133"/>
      <c r="AO174" s="133"/>
      <c r="AP174" s="133"/>
      <c r="AQ174" s="133"/>
      <c r="AR174" s="133"/>
      <c r="AS174" s="133"/>
      <c r="AT174" s="133"/>
      <c r="AU174" s="133"/>
      <c r="AV174" s="133"/>
      <c r="AW174" s="133"/>
      <c r="AX174" s="133"/>
      <c r="AY174" s="133"/>
      <c r="AZ174" s="133"/>
      <c r="BA174" s="133"/>
      <c r="BB174" s="133"/>
      <c r="BC174" s="133"/>
      <c r="BD174" s="133"/>
      <c r="BE174" s="133"/>
      <c r="BF174" s="133"/>
      <c r="BG174" s="133"/>
      <c r="BH174" s="133"/>
    </row>
    <row r="175" ht="27" customHeight="1" spans="1:60">
      <c r="A175" s="35"/>
      <c r="B175" s="206"/>
      <c r="C175" s="208">
        <f>M142</f>
        <v>0</v>
      </c>
      <c r="D175" s="209"/>
      <c r="E175" s="202" t="str">
        <f>IF(SUM(W138:W141)&gt;0,"满足","不满足")</f>
        <v>不满足</v>
      </c>
      <c r="F175" s="212"/>
      <c r="G175" s="203"/>
      <c r="H175" s="208">
        <f>M153</f>
        <v>0</v>
      </c>
      <c r="I175" s="240"/>
      <c r="J175" s="242"/>
      <c r="K175" s="208"/>
      <c r="L175" s="240"/>
      <c r="M175" s="209"/>
      <c r="N175" s="243">
        <f>C169+E169+H169+J169+L169+C171+E171+F171+K171+C173+G173+J173+N173+C175+H175</f>
        <v>0</v>
      </c>
      <c r="O175" s="244"/>
      <c r="AK175" s="133"/>
      <c r="AL175" s="133"/>
      <c r="AM175" s="133"/>
      <c r="AN175" s="133"/>
      <c r="AO175" s="133"/>
      <c r="AP175" s="133"/>
      <c r="AQ175" s="133"/>
      <c r="AR175" s="133"/>
      <c r="AS175" s="133"/>
      <c r="AT175" s="133"/>
      <c r="AU175" s="133"/>
      <c r="AV175" s="133"/>
      <c r="AW175" s="133"/>
      <c r="AX175" s="133"/>
      <c r="AY175" s="133"/>
      <c r="AZ175" s="133"/>
      <c r="BA175" s="133"/>
      <c r="BB175" s="133"/>
      <c r="BC175" s="133"/>
      <c r="BD175" s="133"/>
      <c r="BE175" s="133"/>
      <c r="BF175" s="133"/>
      <c r="BG175" s="133"/>
      <c r="BH175" s="133"/>
    </row>
    <row r="176" ht="27" customHeight="1" spans="1:60">
      <c r="A176" s="35"/>
      <c r="B176" s="201" t="s">
        <v>275</v>
      </c>
      <c r="C176" s="213" t="s">
        <v>276</v>
      </c>
      <c r="D176" s="209"/>
      <c r="E176" s="204" t="s">
        <v>249</v>
      </c>
      <c r="F176" s="203"/>
      <c r="G176" s="204" t="s">
        <v>274</v>
      </c>
      <c r="H176" s="203"/>
      <c r="I176" s="213" t="s">
        <v>277</v>
      </c>
      <c r="J176" s="209"/>
      <c r="K176" s="204" t="s">
        <v>278</v>
      </c>
      <c r="L176" s="211"/>
      <c r="M176" s="207"/>
      <c r="N176" s="204" t="s">
        <v>279</v>
      </c>
      <c r="O176" s="203"/>
      <c r="P176" s="130" t="s">
        <v>280</v>
      </c>
      <c r="Q176" s="130" t="s">
        <v>281</v>
      </c>
      <c r="R176" s="130" t="s">
        <v>282</v>
      </c>
      <c r="S176" s="131" t="s">
        <v>283</v>
      </c>
      <c r="T176" s="132"/>
      <c r="AK176" s="133"/>
      <c r="AL176" s="133"/>
      <c r="AM176" s="133"/>
      <c r="AN176" s="133"/>
      <c r="AO176" s="133"/>
      <c r="AP176" s="133"/>
      <c r="AQ176" s="133"/>
      <c r="AR176" s="133"/>
      <c r="AS176" s="133"/>
      <c r="AT176" s="133"/>
      <c r="AU176" s="133"/>
      <c r="AV176" s="133"/>
      <c r="AW176" s="133"/>
      <c r="AX176" s="133"/>
      <c r="AY176" s="133"/>
      <c r="AZ176" s="133"/>
      <c r="BA176" s="133"/>
      <c r="BB176" s="133"/>
      <c r="BC176" s="133"/>
      <c r="BD176" s="133"/>
      <c r="BE176" s="133"/>
      <c r="BF176" s="133"/>
      <c r="BG176" s="133"/>
      <c r="BH176" s="133"/>
    </row>
    <row r="177" ht="27" customHeight="1" spans="1:60">
      <c r="A177" s="35"/>
      <c r="B177" s="206"/>
      <c r="C177" s="208">
        <f ca="1">N163</f>
        <v>0</v>
      </c>
      <c r="D177" s="209"/>
      <c r="E177" s="208">
        <f>N167</f>
        <v>0</v>
      </c>
      <c r="F177" s="209"/>
      <c r="G177" s="208">
        <f>N175</f>
        <v>0</v>
      </c>
      <c r="H177" s="209"/>
      <c r="I177" s="208">
        <f>IF(M159&gt;20,20,M159)</f>
        <v>0</v>
      </c>
      <c r="J177" s="209"/>
      <c r="K177" s="245" t="str">
        <f ca="1">IF(P177&gt;0,"否","是")</f>
        <v>否</v>
      </c>
      <c r="L177" s="245"/>
      <c r="M177" s="245"/>
      <c r="N177" s="245">
        <f>COUNTIF(C168:O175,"满足")</f>
        <v>0</v>
      </c>
      <c r="O177" s="245"/>
      <c r="P177" s="31">
        <f ca="1">COUNTIF(C162:O167,"不满足")</f>
        <v>8</v>
      </c>
      <c r="Q177" s="31">
        <f ca="1">COUNTIF(C162:O167,"满足")</f>
        <v>0</v>
      </c>
      <c r="R177" s="31">
        <f>COUNTIF(C168:O175,"满足")</f>
        <v>0</v>
      </c>
      <c r="S177" s="131"/>
      <c r="T177" s="132"/>
      <c r="AK177" s="133"/>
      <c r="AL177" s="133"/>
      <c r="AM177" s="133"/>
      <c r="AN177" s="133"/>
      <c r="AO177" s="133"/>
      <c r="AP177" s="133"/>
      <c r="AQ177" s="133"/>
      <c r="AR177" s="133"/>
      <c r="AS177" s="133"/>
      <c r="AT177" s="133"/>
      <c r="AU177" s="133"/>
      <c r="AV177" s="133"/>
      <c r="AW177" s="133"/>
      <c r="AX177" s="133"/>
      <c r="AY177" s="133"/>
      <c r="AZ177" s="133"/>
      <c r="BA177" s="133"/>
      <c r="BB177" s="133"/>
      <c r="BC177" s="133"/>
      <c r="BD177" s="133"/>
      <c r="BE177" s="133"/>
      <c r="BF177" s="133"/>
      <c r="BG177" s="133"/>
      <c r="BH177" s="133"/>
    </row>
    <row r="178" ht="27" customHeight="1" spans="1:60">
      <c r="A178" s="35"/>
      <c r="B178" s="214" t="s">
        <v>284</v>
      </c>
      <c r="C178" s="215"/>
      <c r="D178" s="215"/>
      <c r="E178" s="216"/>
      <c r="F178" s="214" t="str">
        <f ca="1">IF(AND(K177="是",N177&gt;=4),"是","否")</f>
        <v>否</v>
      </c>
      <c r="G178" s="216"/>
      <c r="H178" s="214" t="s">
        <v>285</v>
      </c>
      <c r="I178" s="215"/>
      <c r="J178" s="216"/>
      <c r="K178" s="246">
        <f ca="1">SUM(C177:J177)</f>
        <v>0</v>
      </c>
      <c r="L178" s="246"/>
      <c r="M178" s="246"/>
      <c r="N178" s="246"/>
      <c r="O178" s="246"/>
      <c r="AK178" s="133"/>
      <c r="AL178" s="133"/>
      <c r="AM178" s="133"/>
      <c r="AN178" s="133"/>
      <c r="AO178" s="133"/>
      <c r="AP178" s="133"/>
      <c r="AQ178" s="133"/>
      <c r="AR178" s="133"/>
      <c r="AS178" s="133"/>
      <c r="AT178" s="133"/>
      <c r="AU178" s="133"/>
      <c r="AV178" s="133"/>
      <c r="AW178" s="133"/>
      <c r="AX178" s="133"/>
      <c r="AY178" s="133"/>
      <c r="AZ178" s="133"/>
      <c r="BA178" s="133"/>
      <c r="BB178" s="133"/>
      <c r="BC178" s="133"/>
      <c r="BD178" s="133"/>
      <c r="BE178" s="133"/>
      <c r="BF178" s="133"/>
      <c r="BG178" s="133"/>
      <c r="BH178" s="133"/>
    </row>
    <row r="179" ht="129" customHeight="1" spans="1:60">
      <c r="A179" s="35"/>
      <c r="B179" s="92" t="s">
        <v>286</v>
      </c>
      <c r="C179" s="217" t="s">
        <v>287</v>
      </c>
      <c r="D179" s="217"/>
      <c r="E179" s="217"/>
      <c r="F179" s="217"/>
      <c r="G179" s="217"/>
      <c r="H179" s="217"/>
      <c r="I179" s="217"/>
      <c r="J179" s="217"/>
      <c r="K179" s="217"/>
      <c r="L179" s="217"/>
      <c r="M179" s="217"/>
      <c r="N179" s="217"/>
      <c r="O179" s="217"/>
      <c r="AK179" s="133"/>
      <c r="AL179" s="133"/>
      <c r="AM179" s="133"/>
      <c r="AN179" s="133"/>
      <c r="AO179" s="133"/>
      <c r="AP179" s="133"/>
      <c r="AQ179" s="133"/>
      <c r="AR179" s="133"/>
      <c r="AS179" s="133"/>
      <c r="AT179" s="133"/>
      <c r="AU179" s="133"/>
      <c r="AV179" s="133"/>
      <c r="AW179" s="133"/>
      <c r="AX179" s="133"/>
      <c r="AY179" s="133"/>
      <c r="AZ179" s="133"/>
      <c r="BA179" s="133"/>
      <c r="BB179" s="133"/>
      <c r="BC179" s="133"/>
      <c r="BD179" s="133"/>
      <c r="BE179" s="133"/>
      <c r="BF179" s="133"/>
      <c r="BG179" s="133"/>
      <c r="BH179" s="133"/>
    </row>
    <row r="180" ht="129" customHeight="1" spans="1:60">
      <c r="A180" s="35"/>
      <c r="B180" s="92" t="s">
        <v>288</v>
      </c>
      <c r="C180" s="217" t="s">
        <v>289</v>
      </c>
      <c r="D180" s="217"/>
      <c r="E180" s="217"/>
      <c r="F180" s="217"/>
      <c r="G180" s="217"/>
      <c r="H180" s="217"/>
      <c r="I180" s="217"/>
      <c r="J180" s="217"/>
      <c r="K180" s="217"/>
      <c r="L180" s="217"/>
      <c r="M180" s="217"/>
      <c r="N180" s="217"/>
      <c r="O180" s="217"/>
      <c r="AK180" s="133"/>
      <c r="AL180" s="133"/>
      <c r="AM180" s="133"/>
      <c r="AN180" s="133"/>
      <c r="AO180" s="133"/>
      <c r="AP180" s="133"/>
      <c r="AQ180" s="133"/>
      <c r="AR180" s="133"/>
      <c r="AS180" s="133"/>
      <c r="AT180" s="133"/>
      <c r="AU180" s="133"/>
      <c r="AV180" s="133"/>
      <c r="AW180" s="133"/>
      <c r="AX180" s="133"/>
      <c r="AY180" s="133"/>
      <c r="AZ180" s="133"/>
      <c r="BA180" s="133"/>
      <c r="BB180" s="133"/>
      <c r="BC180" s="133"/>
      <c r="BD180" s="133"/>
      <c r="BE180" s="133"/>
      <c r="BF180" s="133"/>
      <c r="BG180" s="133"/>
      <c r="BH180" s="133"/>
    </row>
    <row r="181" ht="129" customHeight="1" spans="1:60">
      <c r="A181" s="35"/>
      <c r="B181" s="92" t="s">
        <v>290</v>
      </c>
      <c r="C181" s="217" t="s">
        <v>291</v>
      </c>
      <c r="D181" s="217"/>
      <c r="E181" s="217"/>
      <c r="F181" s="217"/>
      <c r="G181" s="217"/>
      <c r="H181" s="217"/>
      <c r="I181" s="217"/>
      <c r="J181" s="217"/>
      <c r="K181" s="217"/>
      <c r="L181" s="217"/>
      <c r="M181" s="217"/>
      <c r="N181" s="217"/>
      <c r="O181" s="217"/>
      <c r="AK181" s="133"/>
      <c r="AL181" s="133"/>
      <c r="AM181" s="133"/>
      <c r="AN181" s="133"/>
      <c r="AO181" s="133"/>
      <c r="AP181" s="133"/>
      <c r="AQ181" s="133"/>
      <c r="AR181" s="133"/>
      <c r="AS181" s="133"/>
      <c r="AT181" s="133"/>
      <c r="AU181" s="133"/>
      <c r="AV181" s="133"/>
      <c r="AW181" s="133"/>
      <c r="AX181" s="133"/>
      <c r="AY181" s="133"/>
      <c r="AZ181" s="133"/>
      <c r="BA181" s="133"/>
      <c r="BB181" s="133"/>
      <c r="BC181" s="133"/>
      <c r="BD181" s="133"/>
      <c r="BE181" s="133"/>
      <c r="BF181" s="133"/>
      <c r="BG181" s="133"/>
      <c r="BH181" s="133"/>
    </row>
    <row r="182" s="26" customFormat="1" spans="1:72">
      <c r="A182" s="133"/>
      <c r="B182" s="133"/>
      <c r="C182" s="133"/>
      <c r="D182" s="133"/>
      <c r="E182" s="133"/>
      <c r="F182" s="133"/>
      <c r="G182" s="133"/>
      <c r="H182" s="133"/>
      <c r="I182" s="133"/>
      <c r="J182" s="133"/>
      <c r="K182" s="133"/>
      <c r="L182" s="133"/>
      <c r="M182" s="133"/>
      <c r="N182" s="133"/>
      <c r="O182" s="133"/>
      <c r="P182" s="133"/>
      <c r="Q182" s="133"/>
      <c r="R182" s="133"/>
      <c r="S182" s="133"/>
      <c r="T182" s="133"/>
      <c r="U182" s="133"/>
      <c r="V182" s="133"/>
      <c r="W182" s="133"/>
      <c r="X182" s="133"/>
      <c r="Y182" s="133"/>
      <c r="Z182" s="133"/>
      <c r="AA182" s="133"/>
      <c r="AB182" s="133"/>
      <c r="AC182" s="133"/>
      <c r="AD182" s="133"/>
      <c r="AE182" s="133"/>
      <c r="AF182" s="133"/>
      <c r="AG182" s="133"/>
      <c r="AH182" s="133"/>
      <c r="AI182" s="133"/>
      <c r="AJ182" s="133"/>
      <c r="AK182" s="133"/>
      <c r="AL182" s="133"/>
      <c r="AM182" s="133"/>
      <c r="AN182" s="133"/>
      <c r="AO182" s="133"/>
      <c r="AP182" s="133"/>
      <c r="AQ182" s="133"/>
      <c r="AR182" s="133"/>
      <c r="AS182" s="133"/>
      <c r="AT182" s="133"/>
      <c r="AU182" s="133"/>
      <c r="AV182" s="133"/>
      <c r="AW182" s="133"/>
      <c r="AX182" s="133"/>
      <c r="AY182" s="133"/>
      <c r="AZ182" s="133"/>
      <c r="BA182" s="133"/>
      <c r="BB182" s="133"/>
      <c r="BC182" s="133"/>
      <c r="BD182" s="133"/>
      <c r="BE182" s="133"/>
      <c r="BF182" s="133"/>
      <c r="BG182" s="133"/>
      <c r="BH182" s="133"/>
      <c r="BI182" s="34"/>
      <c r="BJ182" s="34"/>
      <c r="BK182" s="34"/>
      <c r="BL182" s="34"/>
      <c r="BM182" s="34"/>
      <c r="BN182" s="34"/>
      <c r="BO182" s="34"/>
      <c r="BP182" s="34"/>
      <c r="BQ182" s="34"/>
      <c r="BR182" s="34"/>
      <c r="BS182" s="34"/>
      <c r="BT182" s="249"/>
    </row>
    <row r="183" s="26" customFormat="1" spans="1:72">
      <c r="A183" s="133"/>
      <c r="B183" s="133"/>
      <c r="C183" s="133"/>
      <c r="D183" s="133"/>
      <c r="E183" s="133"/>
      <c r="F183" s="133"/>
      <c r="G183" s="133"/>
      <c r="H183" s="133"/>
      <c r="I183" s="133"/>
      <c r="J183" s="133"/>
      <c r="K183" s="133"/>
      <c r="L183" s="133"/>
      <c r="M183" s="133"/>
      <c r="N183" s="133"/>
      <c r="O183" s="133"/>
      <c r="P183" s="133"/>
      <c r="Q183" s="133"/>
      <c r="R183" s="133"/>
      <c r="S183" s="133"/>
      <c r="T183" s="133"/>
      <c r="U183" s="133"/>
      <c r="V183" s="133"/>
      <c r="W183" s="133"/>
      <c r="X183" s="133"/>
      <c r="Y183" s="133"/>
      <c r="Z183" s="133"/>
      <c r="AA183" s="133"/>
      <c r="AB183" s="133"/>
      <c r="AC183" s="133"/>
      <c r="AD183" s="133"/>
      <c r="AE183" s="133"/>
      <c r="AF183" s="133"/>
      <c r="AG183" s="133"/>
      <c r="AH183" s="133"/>
      <c r="AI183" s="133"/>
      <c r="AJ183" s="133"/>
      <c r="AK183" s="133"/>
      <c r="AL183" s="133"/>
      <c r="AM183" s="133"/>
      <c r="AN183" s="133"/>
      <c r="AO183" s="133"/>
      <c r="AP183" s="133"/>
      <c r="AQ183" s="133"/>
      <c r="AR183" s="133"/>
      <c r="AS183" s="133"/>
      <c r="AT183" s="133"/>
      <c r="AU183" s="133"/>
      <c r="AV183" s="133"/>
      <c r="AW183" s="133"/>
      <c r="AX183" s="133"/>
      <c r="AY183" s="133"/>
      <c r="AZ183" s="133"/>
      <c r="BA183" s="133"/>
      <c r="BB183" s="133"/>
      <c r="BC183" s="133"/>
      <c r="BD183" s="133"/>
      <c r="BE183" s="133"/>
      <c r="BF183" s="133"/>
      <c r="BG183" s="133"/>
      <c r="BH183" s="133"/>
      <c r="BI183" s="34"/>
      <c r="BJ183" s="34"/>
      <c r="BK183" s="34"/>
      <c r="BL183" s="34"/>
      <c r="BM183" s="34"/>
      <c r="BN183" s="34"/>
      <c r="BO183" s="34"/>
      <c r="BP183" s="34"/>
      <c r="BQ183" s="34"/>
      <c r="BR183" s="34"/>
      <c r="BS183" s="34"/>
      <c r="BT183" s="249"/>
    </row>
    <row r="184" s="26" customFormat="1" spans="1:72">
      <c r="A184" s="133"/>
      <c r="B184" s="133"/>
      <c r="C184" s="133"/>
      <c r="D184" s="133"/>
      <c r="E184" s="133"/>
      <c r="F184" s="133"/>
      <c r="G184" s="133"/>
      <c r="H184" s="133"/>
      <c r="I184" s="133"/>
      <c r="J184" s="133"/>
      <c r="K184" s="133"/>
      <c r="L184" s="133"/>
      <c r="M184" s="133"/>
      <c r="N184" s="133"/>
      <c r="O184" s="133"/>
      <c r="P184" s="133"/>
      <c r="Q184" s="133"/>
      <c r="R184" s="133"/>
      <c r="S184" s="133"/>
      <c r="T184" s="133"/>
      <c r="U184" s="133"/>
      <c r="V184" s="133"/>
      <c r="W184" s="133"/>
      <c r="X184" s="133"/>
      <c r="Y184" s="133"/>
      <c r="Z184" s="133"/>
      <c r="AA184" s="133"/>
      <c r="AB184" s="133"/>
      <c r="AC184" s="133"/>
      <c r="AD184" s="133"/>
      <c r="AE184" s="133"/>
      <c r="AF184" s="133"/>
      <c r="AG184" s="133"/>
      <c r="AH184" s="133"/>
      <c r="AI184" s="133"/>
      <c r="AJ184" s="133"/>
      <c r="AK184" s="133"/>
      <c r="AL184" s="133"/>
      <c r="AM184" s="133"/>
      <c r="AN184" s="133"/>
      <c r="AO184" s="133"/>
      <c r="AP184" s="133"/>
      <c r="AQ184" s="133"/>
      <c r="AR184" s="133"/>
      <c r="AS184" s="133"/>
      <c r="AT184" s="133"/>
      <c r="AU184" s="133"/>
      <c r="AV184" s="133"/>
      <c r="AW184" s="133"/>
      <c r="AX184" s="133"/>
      <c r="AY184" s="133"/>
      <c r="AZ184" s="133"/>
      <c r="BA184" s="133"/>
      <c r="BB184" s="133"/>
      <c r="BI184" s="34"/>
      <c r="BJ184" s="34"/>
      <c r="BK184" s="34"/>
      <c r="BL184" s="34"/>
      <c r="BM184" s="34"/>
      <c r="BN184" s="34"/>
      <c r="BO184" s="34"/>
      <c r="BP184" s="34"/>
      <c r="BQ184" s="34"/>
      <c r="BR184" s="34"/>
      <c r="BS184" s="34"/>
      <c r="BT184" s="249"/>
    </row>
    <row r="185" s="26" customFormat="1" spans="1:72">
      <c r="A185" s="133"/>
      <c r="B185" s="133"/>
      <c r="C185" s="133"/>
      <c r="D185" s="133"/>
      <c r="E185" s="133"/>
      <c r="F185" s="133"/>
      <c r="G185" s="133"/>
      <c r="H185" s="133"/>
      <c r="I185" s="133"/>
      <c r="J185" s="133"/>
      <c r="K185" s="133"/>
      <c r="L185" s="133"/>
      <c r="M185" s="133"/>
      <c r="N185" s="133"/>
      <c r="O185" s="133"/>
      <c r="P185" s="133"/>
      <c r="Q185" s="133"/>
      <c r="R185" s="133"/>
      <c r="S185" s="133"/>
      <c r="T185" s="133"/>
      <c r="U185" s="133"/>
      <c r="V185" s="133"/>
      <c r="W185" s="133"/>
      <c r="X185" s="133"/>
      <c r="Y185" s="133"/>
      <c r="Z185" s="133"/>
      <c r="AA185" s="133"/>
      <c r="AB185" s="133"/>
      <c r="AC185" s="133"/>
      <c r="AD185" s="133"/>
      <c r="AE185" s="133"/>
      <c r="AF185" s="133"/>
      <c r="AG185" s="133"/>
      <c r="AH185" s="133"/>
      <c r="AI185" s="133"/>
      <c r="AJ185" s="133"/>
      <c r="AK185" s="133"/>
      <c r="AL185" s="133"/>
      <c r="AM185" s="133"/>
      <c r="AN185" s="133"/>
      <c r="AO185" s="133"/>
      <c r="AP185" s="133"/>
      <c r="AQ185" s="133"/>
      <c r="AR185" s="133"/>
      <c r="AS185" s="133"/>
      <c r="AT185" s="133"/>
      <c r="AU185" s="133"/>
      <c r="AV185" s="133"/>
      <c r="AW185" s="133"/>
      <c r="AX185" s="133"/>
      <c r="AY185" s="133"/>
      <c r="AZ185" s="133"/>
      <c r="BA185" s="133"/>
      <c r="BB185" s="133"/>
      <c r="BI185" s="34"/>
      <c r="BJ185" s="34"/>
      <c r="BK185" s="34"/>
      <c r="BL185" s="34"/>
      <c r="BM185" s="34"/>
      <c r="BN185" s="34"/>
      <c r="BO185" s="34"/>
      <c r="BP185" s="34"/>
      <c r="BQ185" s="34"/>
      <c r="BR185" s="34"/>
      <c r="BS185" s="34"/>
      <c r="BT185" s="249"/>
    </row>
    <row r="186" s="26" customFormat="1" spans="1:72">
      <c r="A186" s="133"/>
      <c r="B186" s="133"/>
      <c r="C186" s="133"/>
      <c r="D186" s="133"/>
      <c r="E186" s="133"/>
      <c r="F186" s="133"/>
      <c r="G186" s="133"/>
      <c r="H186" s="133"/>
      <c r="I186" s="133"/>
      <c r="J186" s="133"/>
      <c r="K186" s="133"/>
      <c r="L186" s="133"/>
      <c r="M186" s="133"/>
      <c r="N186" s="133"/>
      <c r="O186" s="133"/>
      <c r="P186" s="133"/>
      <c r="Q186" s="133"/>
      <c r="R186" s="133"/>
      <c r="S186" s="133"/>
      <c r="T186" s="133"/>
      <c r="U186" s="133"/>
      <c r="V186" s="133"/>
      <c r="W186" s="133"/>
      <c r="X186" s="133"/>
      <c r="Y186" s="133"/>
      <c r="Z186" s="133"/>
      <c r="AA186" s="133"/>
      <c r="AB186" s="133"/>
      <c r="AC186" s="133"/>
      <c r="AD186" s="133"/>
      <c r="AE186" s="133"/>
      <c r="AF186" s="133"/>
      <c r="AG186" s="133"/>
      <c r="AH186" s="133"/>
      <c r="AI186" s="133"/>
      <c r="AJ186" s="133"/>
      <c r="AK186" s="133"/>
      <c r="AL186" s="133"/>
      <c r="AM186" s="133"/>
      <c r="AN186" s="133"/>
      <c r="AO186" s="133"/>
      <c r="AP186" s="133"/>
      <c r="AQ186" s="133"/>
      <c r="AR186" s="133"/>
      <c r="AS186" s="133"/>
      <c r="AT186" s="133"/>
      <c r="AU186" s="133"/>
      <c r="AV186" s="133"/>
      <c r="AW186" s="133"/>
      <c r="AX186" s="133"/>
      <c r="AY186" s="133"/>
      <c r="AZ186" s="133"/>
      <c r="BA186" s="133"/>
      <c r="BB186" s="133"/>
      <c r="BI186" s="34"/>
      <c r="BJ186" s="34"/>
      <c r="BK186" s="34"/>
      <c r="BL186" s="34"/>
      <c r="BM186" s="34"/>
      <c r="BN186" s="34"/>
      <c r="BO186" s="34"/>
      <c r="BP186" s="34"/>
      <c r="BQ186" s="34"/>
      <c r="BR186" s="34"/>
      <c r="BS186" s="34"/>
      <c r="BT186" s="249"/>
    </row>
    <row r="187" s="26" customFormat="1" spans="1:72">
      <c r="A187" s="133"/>
      <c r="B187" s="133"/>
      <c r="C187" s="133"/>
      <c r="D187" s="133"/>
      <c r="E187" s="133"/>
      <c r="F187" s="133"/>
      <c r="G187" s="133"/>
      <c r="H187" s="133"/>
      <c r="I187" s="133"/>
      <c r="J187" s="133"/>
      <c r="K187" s="133"/>
      <c r="L187" s="133"/>
      <c r="M187" s="133"/>
      <c r="N187" s="133"/>
      <c r="O187" s="133"/>
      <c r="P187" s="133"/>
      <c r="Q187" s="133"/>
      <c r="R187" s="133"/>
      <c r="S187" s="133"/>
      <c r="T187" s="133"/>
      <c r="U187" s="133"/>
      <c r="V187" s="133"/>
      <c r="W187" s="133"/>
      <c r="X187" s="133"/>
      <c r="Y187" s="133"/>
      <c r="Z187" s="133"/>
      <c r="AA187" s="133"/>
      <c r="AB187" s="133"/>
      <c r="AC187" s="133"/>
      <c r="AD187" s="133"/>
      <c r="AE187" s="133"/>
      <c r="AF187" s="133"/>
      <c r="AG187" s="133"/>
      <c r="AH187" s="133"/>
      <c r="AI187" s="133"/>
      <c r="AJ187" s="133"/>
      <c r="AK187" s="133"/>
      <c r="AL187" s="133"/>
      <c r="AM187" s="133"/>
      <c r="AN187" s="133"/>
      <c r="AO187" s="133"/>
      <c r="AP187" s="133"/>
      <c r="AQ187" s="133"/>
      <c r="AR187" s="133"/>
      <c r="AS187" s="133"/>
      <c r="AT187" s="133"/>
      <c r="AU187" s="133"/>
      <c r="AV187" s="133"/>
      <c r="AW187" s="133"/>
      <c r="AX187" s="133"/>
      <c r="AY187" s="133"/>
      <c r="AZ187" s="133"/>
      <c r="BA187" s="133"/>
      <c r="BB187" s="133"/>
      <c r="BI187" s="34"/>
      <c r="BJ187" s="34"/>
      <c r="BK187" s="34"/>
      <c r="BL187" s="34"/>
      <c r="BM187" s="34"/>
      <c r="BN187" s="34"/>
      <c r="BO187" s="34"/>
      <c r="BP187" s="34"/>
      <c r="BQ187" s="34"/>
      <c r="BR187" s="34"/>
      <c r="BS187" s="34"/>
      <c r="BT187" s="249"/>
    </row>
    <row r="188" s="26" customFormat="1" spans="1:72">
      <c r="A188" s="133"/>
      <c r="B188" s="133"/>
      <c r="C188" s="133"/>
      <c r="D188" s="133"/>
      <c r="E188" s="133"/>
      <c r="F188" s="133"/>
      <c r="G188" s="133"/>
      <c r="H188" s="133"/>
      <c r="I188" s="133"/>
      <c r="J188" s="133"/>
      <c r="K188" s="133"/>
      <c r="L188" s="133"/>
      <c r="M188" s="133"/>
      <c r="N188" s="133"/>
      <c r="O188" s="133"/>
      <c r="P188" s="133"/>
      <c r="Q188" s="133"/>
      <c r="R188" s="133"/>
      <c r="S188" s="133"/>
      <c r="T188" s="133"/>
      <c r="U188" s="133"/>
      <c r="V188" s="133"/>
      <c r="W188" s="133"/>
      <c r="X188" s="133"/>
      <c r="Y188" s="133"/>
      <c r="Z188" s="133"/>
      <c r="AA188" s="133"/>
      <c r="AB188" s="133"/>
      <c r="AC188" s="133"/>
      <c r="AD188" s="133"/>
      <c r="AE188" s="133"/>
      <c r="AF188" s="133"/>
      <c r="AG188" s="133"/>
      <c r="AH188" s="133"/>
      <c r="AI188" s="133"/>
      <c r="AJ188" s="133"/>
      <c r="AK188" s="133"/>
      <c r="AL188" s="133"/>
      <c r="AM188" s="133"/>
      <c r="AN188" s="133"/>
      <c r="AO188" s="133"/>
      <c r="AP188" s="133"/>
      <c r="AQ188" s="133"/>
      <c r="AR188" s="133"/>
      <c r="AS188" s="133"/>
      <c r="AT188" s="133"/>
      <c r="AU188" s="133"/>
      <c r="AV188" s="133"/>
      <c r="AW188" s="133"/>
      <c r="AX188" s="133"/>
      <c r="AY188" s="133"/>
      <c r="AZ188" s="133"/>
      <c r="BA188" s="133"/>
      <c r="BB188" s="133"/>
      <c r="BI188" s="34"/>
      <c r="BJ188" s="34"/>
      <c r="BK188" s="34"/>
      <c r="BL188" s="34"/>
      <c r="BM188" s="34"/>
      <c r="BN188" s="34"/>
      <c r="BO188" s="34"/>
      <c r="BP188" s="34"/>
      <c r="BQ188" s="34"/>
      <c r="BR188" s="34"/>
      <c r="BS188" s="34"/>
      <c r="BT188" s="249"/>
    </row>
    <row r="189" s="26" customFormat="1" spans="1:72">
      <c r="A189" s="133"/>
      <c r="B189" s="133"/>
      <c r="C189" s="133"/>
      <c r="D189" s="133"/>
      <c r="E189" s="133"/>
      <c r="F189" s="133"/>
      <c r="G189" s="133"/>
      <c r="H189" s="133"/>
      <c r="I189" s="133"/>
      <c r="J189" s="133"/>
      <c r="K189" s="133"/>
      <c r="L189" s="133"/>
      <c r="M189" s="133"/>
      <c r="N189" s="133"/>
      <c r="O189" s="133"/>
      <c r="P189" s="133"/>
      <c r="Q189" s="133"/>
      <c r="R189" s="133"/>
      <c r="S189" s="133"/>
      <c r="T189" s="133"/>
      <c r="U189" s="133"/>
      <c r="V189" s="133"/>
      <c r="W189" s="133"/>
      <c r="X189" s="133"/>
      <c r="Y189" s="133"/>
      <c r="Z189" s="133"/>
      <c r="AA189" s="133"/>
      <c r="AB189" s="133"/>
      <c r="AC189" s="133"/>
      <c r="AD189" s="133"/>
      <c r="AE189" s="133"/>
      <c r="AF189" s="133"/>
      <c r="AG189" s="133"/>
      <c r="AH189" s="133"/>
      <c r="AI189" s="133"/>
      <c r="AJ189" s="133"/>
      <c r="AK189" s="133"/>
      <c r="AL189" s="133"/>
      <c r="AM189" s="133"/>
      <c r="AN189" s="133"/>
      <c r="AO189" s="133"/>
      <c r="AP189" s="133"/>
      <c r="AQ189" s="133"/>
      <c r="AR189" s="133"/>
      <c r="AS189" s="133"/>
      <c r="AT189" s="133"/>
      <c r="AU189" s="133"/>
      <c r="AV189" s="133"/>
      <c r="AW189" s="133"/>
      <c r="AX189" s="133"/>
      <c r="AY189" s="133"/>
      <c r="AZ189" s="133"/>
      <c r="BA189" s="133"/>
      <c r="BB189" s="133"/>
      <c r="BI189" s="34"/>
      <c r="BJ189" s="34"/>
      <c r="BK189" s="34"/>
      <c r="BL189" s="34"/>
      <c r="BM189" s="34"/>
      <c r="BN189" s="34"/>
      <c r="BO189" s="34"/>
      <c r="BP189" s="34"/>
      <c r="BQ189" s="34"/>
      <c r="BR189" s="34"/>
      <c r="BS189" s="34"/>
      <c r="BT189" s="249"/>
    </row>
    <row r="190" s="26" customFormat="1" spans="1:72">
      <c r="A190" s="133"/>
      <c r="B190" s="133"/>
      <c r="C190" s="133"/>
      <c r="D190" s="133"/>
      <c r="E190" s="133"/>
      <c r="F190" s="133"/>
      <c r="G190" s="133"/>
      <c r="H190" s="133"/>
      <c r="I190" s="133"/>
      <c r="J190" s="133"/>
      <c r="K190" s="133"/>
      <c r="L190" s="133"/>
      <c r="M190" s="133"/>
      <c r="N190" s="133"/>
      <c r="O190" s="133"/>
      <c r="P190" s="133"/>
      <c r="Q190" s="133"/>
      <c r="R190" s="133"/>
      <c r="S190" s="133"/>
      <c r="T190" s="133"/>
      <c r="U190" s="133"/>
      <c r="V190" s="133"/>
      <c r="W190" s="133"/>
      <c r="X190" s="133"/>
      <c r="Y190" s="133"/>
      <c r="Z190" s="133"/>
      <c r="AA190" s="133"/>
      <c r="AB190" s="133"/>
      <c r="AC190" s="133"/>
      <c r="AD190" s="133"/>
      <c r="AE190" s="133"/>
      <c r="AF190" s="133"/>
      <c r="AG190" s="133"/>
      <c r="AH190" s="133"/>
      <c r="AI190" s="133"/>
      <c r="AJ190" s="133"/>
      <c r="AK190" s="133"/>
      <c r="AL190" s="133"/>
      <c r="AM190" s="133"/>
      <c r="AN190" s="133"/>
      <c r="AO190" s="133"/>
      <c r="AP190" s="133"/>
      <c r="AQ190" s="133"/>
      <c r="AR190" s="133"/>
      <c r="AS190" s="133"/>
      <c r="AT190" s="133"/>
      <c r="AU190" s="133"/>
      <c r="AV190" s="133"/>
      <c r="AW190" s="133"/>
      <c r="AX190" s="133"/>
      <c r="AY190" s="133"/>
      <c r="AZ190" s="133"/>
      <c r="BA190" s="133"/>
      <c r="BB190" s="133"/>
      <c r="BI190" s="34"/>
      <c r="BJ190" s="34"/>
      <c r="BK190" s="34"/>
      <c r="BL190" s="34"/>
      <c r="BM190" s="34"/>
      <c r="BN190" s="34"/>
      <c r="BO190" s="34"/>
      <c r="BP190" s="34"/>
      <c r="BQ190" s="34"/>
      <c r="BR190" s="34"/>
      <c r="BS190" s="34"/>
      <c r="BT190" s="249"/>
    </row>
    <row r="191" s="26" customFormat="1" spans="1:72">
      <c r="A191" s="133"/>
      <c r="B191" s="133"/>
      <c r="C191" s="133"/>
      <c r="D191" s="133"/>
      <c r="E191" s="133"/>
      <c r="F191" s="133"/>
      <c r="G191" s="133"/>
      <c r="H191" s="133"/>
      <c r="I191" s="133"/>
      <c r="J191" s="133"/>
      <c r="K191" s="133"/>
      <c r="L191" s="133"/>
      <c r="M191" s="133"/>
      <c r="N191" s="133"/>
      <c r="O191" s="133"/>
      <c r="P191" s="133"/>
      <c r="Q191" s="133"/>
      <c r="R191" s="133"/>
      <c r="S191" s="133"/>
      <c r="T191" s="133"/>
      <c r="U191" s="133"/>
      <c r="V191" s="133"/>
      <c r="W191" s="133"/>
      <c r="X191" s="133"/>
      <c r="Y191" s="133"/>
      <c r="Z191" s="133"/>
      <c r="AA191" s="133"/>
      <c r="AB191" s="133"/>
      <c r="AC191" s="133"/>
      <c r="AD191" s="133"/>
      <c r="AE191" s="133"/>
      <c r="AF191" s="133"/>
      <c r="AG191" s="133"/>
      <c r="AH191" s="133"/>
      <c r="AI191" s="133"/>
      <c r="AJ191" s="133"/>
      <c r="AK191" s="133"/>
      <c r="AL191" s="133"/>
      <c r="AM191" s="133"/>
      <c r="AN191" s="133"/>
      <c r="AO191" s="133"/>
      <c r="AP191" s="133"/>
      <c r="AQ191" s="133"/>
      <c r="AR191" s="133"/>
      <c r="AS191" s="133"/>
      <c r="AT191" s="133"/>
      <c r="AU191" s="133"/>
      <c r="AV191" s="133"/>
      <c r="AW191" s="133"/>
      <c r="AX191" s="133"/>
      <c r="AY191" s="133"/>
      <c r="AZ191" s="133"/>
      <c r="BA191" s="133"/>
      <c r="BB191" s="133"/>
      <c r="BI191" s="34"/>
      <c r="BJ191" s="34"/>
      <c r="BK191" s="34"/>
      <c r="BL191" s="34"/>
      <c r="BM191" s="34"/>
      <c r="BN191" s="34"/>
      <c r="BO191" s="34"/>
      <c r="BP191" s="34"/>
      <c r="BQ191" s="34"/>
      <c r="BR191" s="34"/>
      <c r="BS191" s="34"/>
      <c r="BT191" s="249"/>
    </row>
    <row r="192" s="26" customFormat="1" spans="1:72">
      <c r="A192" s="133"/>
      <c r="B192" s="133"/>
      <c r="C192" s="133"/>
      <c r="D192" s="133"/>
      <c r="E192" s="133"/>
      <c r="F192" s="133"/>
      <c r="G192" s="133"/>
      <c r="H192" s="133"/>
      <c r="I192" s="133"/>
      <c r="J192" s="133"/>
      <c r="K192" s="133"/>
      <c r="L192" s="133"/>
      <c r="M192" s="133"/>
      <c r="N192" s="133"/>
      <c r="O192" s="133"/>
      <c r="P192" s="133"/>
      <c r="Q192" s="133"/>
      <c r="R192" s="133"/>
      <c r="S192" s="133"/>
      <c r="T192" s="133"/>
      <c r="U192" s="133"/>
      <c r="V192" s="133"/>
      <c r="W192" s="133"/>
      <c r="X192" s="133"/>
      <c r="Y192" s="133"/>
      <c r="Z192" s="133"/>
      <c r="AA192" s="133"/>
      <c r="AB192" s="133"/>
      <c r="AC192" s="133"/>
      <c r="AD192" s="133"/>
      <c r="AE192" s="133"/>
      <c r="AF192" s="133"/>
      <c r="AG192" s="133"/>
      <c r="AH192" s="133"/>
      <c r="AI192" s="133"/>
      <c r="AJ192" s="133"/>
      <c r="AK192" s="133"/>
      <c r="AL192" s="133"/>
      <c r="AM192" s="133"/>
      <c r="AN192" s="133"/>
      <c r="AO192" s="133"/>
      <c r="AP192" s="133"/>
      <c r="AQ192" s="133"/>
      <c r="AR192" s="133"/>
      <c r="AS192" s="133"/>
      <c r="AT192" s="133"/>
      <c r="AU192" s="133"/>
      <c r="AV192" s="133"/>
      <c r="AW192" s="133"/>
      <c r="AX192" s="133"/>
      <c r="AY192" s="133"/>
      <c r="AZ192" s="133"/>
      <c r="BA192" s="133"/>
      <c r="BB192" s="133"/>
      <c r="BI192" s="34"/>
      <c r="BJ192" s="34"/>
      <c r="BK192" s="34"/>
      <c r="BL192" s="34"/>
      <c r="BM192" s="34"/>
      <c r="BN192" s="34"/>
      <c r="BO192" s="34"/>
      <c r="BP192" s="34"/>
      <c r="BQ192" s="34"/>
      <c r="BR192" s="34"/>
      <c r="BS192" s="34"/>
      <c r="BT192" s="249"/>
    </row>
    <row r="193" s="26" customFormat="1" spans="1:72">
      <c r="A193" s="133"/>
      <c r="B193" s="133"/>
      <c r="C193" s="133"/>
      <c r="D193" s="133"/>
      <c r="E193" s="133"/>
      <c r="F193" s="133"/>
      <c r="G193" s="133"/>
      <c r="H193" s="133"/>
      <c r="I193" s="133"/>
      <c r="J193" s="133"/>
      <c r="K193" s="133"/>
      <c r="L193" s="133"/>
      <c r="M193" s="133"/>
      <c r="N193" s="133"/>
      <c r="O193" s="133"/>
      <c r="P193" s="133"/>
      <c r="Q193" s="133"/>
      <c r="R193" s="133"/>
      <c r="S193" s="133"/>
      <c r="T193" s="133"/>
      <c r="U193" s="133"/>
      <c r="V193" s="133"/>
      <c r="W193" s="133"/>
      <c r="X193" s="133"/>
      <c r="Y193" s="133"/>
      <c r="Z193" s="133"/>
      <c r="AA193" s="133"/>
      <c r="AB193" s="133"/>
      <c r="AC193" s="133"/>
      <c r="AD193" s="133"/>
      <c r="AE193" s="133"/>
      <c r="AF193" s="133"/>
      <c r="AG193" s="133"/>
      <c r="AH193" s="133"/>
      <c r="AI193" s="133"/>
      <c r="AJ193" s="133"/>
      <c r="AK193" s="133"/>
      <c r="AL193" s="133"/>
      <c r="AM193" s="133"/>
      <c r="AN193" s="133"/>
      <c r="AO193" s="133"/>
      <c r="AP193" s="133"/>
      <c r="AQ193" s="133"/>
      <c r="AR193" s="133"/>
      <c r="AS193" s="133"/>
      <c r="AT193" s="133"/>
      <c r="AU193" s="133"/>
      <c r="AV193" s="133"/>
      <c r="AW193" s="133"/>
      <c r="AX193" s="133"/>
      <c r="AY193" s="133"/>
      <c r="AZ193" s="133"/>
      <c r="BA193" s="133"/>
      <c r="BB193" s="133"/>
      <c r="BI193" s="34"/>
      <c r="BJ193" s="34"/>
      <c r="BK193" s="34"/>
      <c r="BL193" s="34"/>
      <c r="BM193" s="34"/>
      <c r="BN193" s="34"/>
      <c r="BO193" s="34"/>
      <c r="BP193" s="34"/>
      <c r="BQ193" s="34"/>
      <c r="BR193" s="34"/>
      <c r="BS193" s="34"/>
      <c r="BT193" s="249"/>
    </row>
    <row r="194" s="26" customFormat="1" spans="1:72">
      <c r="A194" s="133"/>
      <c r="B194" s="133"/>
      <c r="C194" s="133"/>
      <c r="D194" s="133"/>
      <c r="E194" s="133"/>
      <c r="F194" s="133"/>
      <c r="G194" s="133"/>
      <c r="H194" s="133"/>
      <c r="I194" s="133"/>
      <c r="J194" s="133"/>
      <c r="K194" s="133"/>
      <c r="L194" s="133"/>
      <c r="M194" s="133"/>
      <c r="N194" s="133"/>
      <c r="O194" s="133"/>
      <c r="P194" s="133"/>
      <c r="Q194" s="133"/>
      <c r="R194" s="133"/>
      <c r="S194" s="133"/>
      <c r="T194" s="133"/>
      <c r="U194" s="133"/>
      <c r="V194" s="133"/>
      <c r="W194" s="133"/>
      <c r="X194" s="133"/>
      <c r="Y194" s="133"/>
      <c r="Z194" s="133"/>
      <c r="AA194" s="133"/>
      <c r="AB194" s="133"/>
      <c r="AC194" s="133"/>
      <c r="AD194" s="133"/>
      <c r="AE194" s="133"/>
      <c r="AF194" s="133"/>
      <c r="AG194" s="133"/>
      <c r="AH194" s="133"/>
      <c r="AI194" s="133"/>
      <c r="AJ194" s="133"/>
      <c r="AK194" s="133"/>
      <c r="AL194" s="133"/>
      <c r="AM194" s="133"/>
      <c r="AN194" s="133"/>
      <c r="AO194" s="133"/>
      <c r="AP194" s="133"/>
      <c r="AQ194" s="133"/>
      <c r="AR194" s="133"/>
      <c r="AS194" s="133"/>
      <c r="AT194" s="133"/>
      <c r="AU194" s="133"/>
      <c r="AV194" s="133"/>
      <c r="AW194" s="133"/>
      <c r="AX194" s="133"/>
      <c r="AY194" s="133"/>
      <c r="AZ194" s="133"/>
      <c r="BA194" s="133"/>
      <c r="BB194" s="133"/>
      <c r="BI194" s="34"/>
      <c r="BJ194" s="34"/>
      <c r="BK194" s="34"/>
      <c r="BL194" s="34"/>
      <c r="BM194" s="34"/>
      <c r="BN194" s="34"/>
      <c r="BO194" s="34"/>
      <c r="BP194" s="34"/>
      <c r="BQ194" s="34"/>
      <c r="BR194" s="34"/>
      <c r="BS194" s="34"/>
      <c r="BT194" s="249"/>
    </row>
    <row r="195" s="26" customFormat="1" spans="1:72">
      <c r="A195" s="133"/>
      <c r="B195" s="133"/>
      <c r="C195" s="133"/>
      <c r="D195" s="133"/>
      <c r="E195" s="133"/>
      <c r="F195" s="133"/>
      <c r="G195" s="133"/>
      <c r="H195" s="133"/>
      <c r="I195" s="133"/>
      <c r="J195" s="133"/>
      <c r="K195" s="133"/>
      <c r="L195" s="133"/>
      <c r="M195" s="133"/>
      <c r="N195" s="133"/>
      <c r="O195" s="133"/>
      <c r="P195" s="133"/>
      <c r="Q195" s="133"/>
      <c r="R195" s="133"/>
      <c r="S195" s="133"/>
      <c r="T195" s="133"/>
      <c r="U195" s="133"/>
      <c r="V195" s="133"/>
      <c r="W195" s="133"/>
      <c r="X195" s="133"/>
      <c r="Y195" s="133"/>
      <c r="Z195" s="133"/>
      <c r="AA195" s="133"/>
      <c r="AB195" s="133"/>
      <c r="AC195" s="133"/>
      <c r="AD195" s="133"/>
      <c r="AE195" s="133"/>
      <c r="AF195" s="133"/>
      <c r="AG195" s="133"/>
      <c r="AH195" s="133"/>
      <c r="AI195" s="133"/>
      <c r="AJ195" s="133"/>
      <c r="AK195" s="133"/>
      <c r="AL195" s="133"/>
      <c r="AM195" s="133"/>
      <c r="AN195" s="133"/>
      <c r="AO195" s="133"/>
      <c r="AP195" s="133"/>
      <c r="AQ195" s="133"/>
      <c r="AR195" s="133"/>
      <c r="AS195" s="133"/>
      <c r="AT195" s="133"/>
      <c r="AU195" s="133"/>
      <c r="AV195" s="133"/>
      <c r="AW195" s="133"/>
      <c r="AX195" s="133"/>
      <c r="AY195" s="133"/>
      <c r="AZ195" s="133"/>
      <c r="BA195" s="133"/>
      <c r="BB195" s="133"/>
      <c r="BI195" s="34"/>
      <c r="BJ195" s="34"/>
      <c r="BK195" s="34"/>
      <c r="BL195" s="34"/>
      <c r="BM195" s="34"/>
      <c r="BN195" s="34"/>
      <c r="BO195" s="34"/>
      <c r="BP195" s="34"/>
      <c r="BQ195" s="34"/>
      <c r="BR195" s="34"/>
      <c r="BS195" s="34"/>
      <c r="BT195" s="249"/>
    </row>
    <row r="196" s="26" customFormat="1" spans="1:72">
      <c r="A196" s="133"/>
      <c r="B196" s="133"/>
      <c r="C196" s="133"/>
      <c r="D196" s="133"/>
      <c r="E196" s="133"/>
      <c r="F196" s="133"/>
      <c r="G196" s="133"/>
      <c r="H196" s="133"/>
      <c r="I196" s="133"/>
      <c r="J196" s="133"/>
      <c r="K196" s="133"/>
      <c r="L196" s="133"/>
      <c r="M196" s="133"/>
      <c r="N196" s="133"/>
      <c r="O196" s="133"/>
      <c r="P196" s="133"/>
      <c r="Q196" s="133"/>
      <c r="R196" s="133"/>
      <c r="S196" s="133"/>
      <c r="T196" s="133"/>
      <c r="U196" s="133"/>
      <c r="V196" s="133"/>
      <c r="W196" s="133"/>
      <c r="X196" s="133"/>
      <c r="Y196" s="133"/>
      <c r="Z196" s="133"/>
      <c r="AA196" s="133"/>
      <c r="AB196" s="133"/>
      <c r="AC196" s="133"/>
      <c r="AD196" s="133"/>
      <c r="AE196" s="133"/>
      <c r="AF196" s="133"/>
      <c r="AG196" s="133"/>
      <c r="AH196" s="133"/>
      <c r="AI196" s="133"/>
      <c r="AJ196" s="133"/>
      <c r="AK196" s="133"/>
      <c r="AL196" s="133"/>
      <c r="AM196" s="133"/>
      <c r="AN196" s="133"/>
      <c r="AO196" s="133"/>
      <c r="AP196" s="133"/>
      <c r="AQ196" s="133"/>
      <c r="AR196" s="133"/>
      <c r="AS196" s="133"/>
      <c r="AT196" s="133"/>
      <c r="AU196" s="133"/>
      <c r="AV196" s="133"/>
      <c r="AW196" s="133"/>
      <c r="AX196" s="133"/>
      <c r="AY196" s="133"/>
      <c r="AZ196" s="133"/>
      <c r="BA196" s="133"/>
      <c r="BB196" s="133"/>
      <c r="BI196" s="34"/>
      <c r="BJ196" s="34"/>
      <c r="BK196" s="34"/>
      <c r="BL196" s="34"/>
      <c r="BM196" s="34"/>
      <c r="BN196" s="34"/>
      <c r="BO196" s="34"/>
      <c r="BP196" s="34"/>
      <c r="BQ196" s="34"/>
      <c r="BR196" s="34"/>
      <c r="BS196" s="34"/>
      <c r="BT196" s="249"/>
    </row>
    <row r="197" s="26" customFormat="1" spans="1:72">
      <c r="A197" s="133"/>
      <c r="B197" s="133"/>
      <c r="C197" s="133"/>
      <c r="D197" s="133"/>
      <c r="E197" s="133"/>
      <c r="F197" s="133"/>
      <c r="G197" s="133"/>
      <c r="H197" s="133"/>
      <c r="I197" s="133"/>
      <c r="J197" s="133"/>
      <c r="K197" s="133"/>
      <c r="L197" s="133"/>
      <c r="M197" s="133"/>
      <c r="N197" s="133"/>
      <c r="O197" s="133"/>
      <c r="P197" s="133"/>
      <c r="Q197" s="133"/>
      <c r="R197" s="133"/>
      <c r="S197" s="133"/>
      <c r="T197" s="133"/>
      <c r="U197" s="133"/>
      <c r="V197" s="133"/>
      <c r="W197" s="133"/>
      <c r="X197" s="133"/>
      <c r="Y197" s="133"/>
      <c r="Z197" s="133"/>
      <c r="AA197" s="133"/>
      <c r="AB197" s="133"/>
      <c r="AC197" s="133"/>
      <c r="AD197" s="133"/>
      <c r="AE197" s="133"/>
      <c r="AF197" s="133"/>
      <c r="AG197" s="133"/>
      <c r="AH197" s="133"/>
      <c r="AI197" s="133"/>
      <c r="AJ197" s="133"/>
      <c r="AK197" s="133"/>
      <c r="AL197" s="133"/>
      <c r="AM197" s="133"/>
      <c r="AN197" s="133"/>
      <c r="AO197" s="133"/>
      <c r="AP197" s="133"/>
      <c r="AQ197" s="133"/>
      <c r="AR197" s="133"/>
      <c r="AS197" s="133"/>
      <c r="AT197" s="133"/>
      <c r="AU197" s="133"/>
      <c r="AV197" s="133"/>
      <c r="AW197" s="133"/>
      <c r="AX197" s="133"/>
      <c r="AY197" s="133"/>
      <c r="AZ197" s="133"/>
      <c r="BA197" s="133"/>
      <c r="BB197" s="133"/>
      <c r="BI197" s="34"/>
      <c r="BJ197" s="34"/>
      <c r="BK197" s="34"/>
      <c r="BL197" s="34"/>
      <c r="BM197" s="34"/>
      <c r="BN197" s="34"/>
      <c r="BO197" s="34"/>
      <c r="BP197" s="34"/>
      <c r="BQ197" s="34"/>
      <c r="BR197" s="34"/>
      <c r="BS197" s="34"/>
      <c r="BT197" s="249"/>
    </row>
    <row r="198" s="26" customFormat="1" spans="1:72">
      <c r="A198" s="133"/>
      <c r="B198" s="133"/>
      <c r="C198" s="133"/>
      <c r="D198" s="133"/>
      <c r="E198" s="133"/>
      <c r="F198" s="133"/>
      <c r="G198" s="133"/>
      <c r="H198" s="133"/>
      <c r="I198" s="133"/>
      <c r="J198" s="133"/>
      <c r="K198" s="133"/>
      <c r="L198" s="133"/>
      <c r="M198" s="133"/>
      <c r="N198" s="133"/>
      <c r="O198" s="133"/>
      <c r="P198" s="133"/>
      <c r="Q198" s="133"/>
      <c r="R198" s="133"/>
      <c r="S198" s="133"/>
      <c r="T198" s="133"/>
      <c r="U198" s="133"/>
      <c r="V198" s="133"/>
      <c r="W198" s="133"/>
      <c r="X198" s="133"/>
      <c r="Y198" s="133"/>
      <c r="Z198" s="133"/>
      <c r="AA198" s="133"/>
      <c r="AB198" s="133"/>
      <c r="AC198" s="133"/>
      <c r="AD198" s="133"/>
      <c r="AE198" s="133"/>
      <c r="AF198" s="133"/>
      <c r="AG198" s="133"/>
      <c r="AH198" s="133"/>
      <c r="AI198" s="133"/>
      <c r="AJ198" s="133"/>
      <c r="AK198" s="133"/>
      <c r="AL198" s="133"/>
      <c r="AM198" s="133"/>
      <c r="AN198" s="133"/>
      <c r="AO198" s="133"/>
      <c r="AP198" s="133"/>
      <c r="AQ198" s="133"/>
      <c r="AR198" s="133"/>
      <c r="AS198" s="133"/>
      <c r="AT198" s="133"/>
      <c r="AU198" s="133"/>
      <c r="AV198" s="133"/>
      <c r="AW198" s="133"/>
      <c r="AX198" s="133"/>
      <c r="AY198" s="133"/>
      <c r="AZ198" s="133"/>
      <c r="BA198" s="133"/>
      <c r="BB198" s="133"/>
      <c r="BI198" s="34"/>
      <c r="BJ198" s="34"/>
      <c r="BK198" s="34"/>
      <c r="BL198" s="34"/>
      <c r="BM198" s="34"/>
      <c r="BN198" s="34"/>
      <c r="BO198" s="34"/>
      <c r="BP198" s="34"/>
      <c r="BQ198" s="34"/>
      <c r="BR198" s="34"/>
      <c r="BS198" s="34"/>
      <c r="BT198" s="249"/>
    </row>
    <row r="199" s="26" customFormat="1" spans="1:72">
      <c r="A199" s="133"/>
      <c r="B199" s="133"/>
      <c r="C199" s="133"/>
      <c r="D199" s="133"/>
      <c r="E199" s="133"/>
      <c r="F199" s="133"/>
      <c r="G199" s="133"/>
      <c r="H199" s="133"/>
      <c r="I199" s="133"/>
      <c r="J199" s="133"/>
      <c r="K199" s="133"/>
      <c r="L199" s="133"/>
      <c r="M199" s="133"/>
      <c r="N199" s="133"/>
      <c r="O199" s="133"/>
      <c r="P199" s="133"/>
      <c r="Q199" s="133"/>
      <c r="R199" s="133"/>
      <c r="S199" s="133"/>
      <c r="T199" s="133"/>
      <c r="U199" s="133"/>
      <c r="V199" s="133"/>
      <c r="W199" s="133"/>
      <c r="X199" s="133"/>
      <c r="Y199" s="133"/>
      <c r="Z199" s="133"/>
      <c r="AA199" s="133"/>
      <c r="AB199" s="133"/>
      <c r="AC199" s="133"/>
      <c r="AD199" s="133"/>
      <c r="AE199" s="133"/>
      <c r="AF199" s="133"/>
      <c r="AG199" s="133"/>
      <c r="AH199" s="133"/>
      <c r="AI199" s="133"/>
      <c r="AJ199" s="133"/>
      <c r="AK199" s="133"/>
      <c r="AL199" s="133"/>
      <c r="AM199" s="133"/>
      <c r="AN199" s="133"/>
      <c r="AO199" s="133"/>
      <c r="AP199" s="133"/>
      <c r="AQ199" s="133"/>
      <c r="AR199" s="133"/>
      <c r="AS199" s="133"/>
      <c r="AT199" s="133"/>
      <c r="AU199" s="133"/>
      <c r="AV199" s="133"/>
      <c r="AW199" s="133"/>
      <c r="AX199" s="133"/>
      <c r="AY199" s="133"/>
      <c r="AZ199" s="133"/>
      <c r="BA199" s="133"/>
      <c r="BB199" s="133"/>
      <c r="BI199" s="34"/>
      <c r="BJ199" s="34"/>
      <c r="BK199" s="34"/>
      <c r="BL199" s="34"/>
      <c r="BM199" s="34"/>
      <c r="BN199" s="34"/>
      <c r="BO199" s="34"/>
      <c r="BP199" s="34"/>
      <c r="BQ199" s="34"/>
      <c r="BR199" s="34"/>
      <c r="BS199" s="34"/>
      <c r="BT199" s="249"/>
    </row>
    <row r="200" s="26" customFormat="1" spans="1:72">
      <c r="A200" s="133"/>
      <c r="B200" s="133"/>
      <c r="C200" s="133"/>
      <c r="D200" s="133"/>
      <c r="E200" s="133"/>
      <c r="F200" s="133"/>
      <c r="G200" s="133"/>
      <c r="H200" s="133"/>
      <c r="I200" s="133"/>
      <c r="J200" s="133"/>
      <c r="K200" s="133"/>
      <c r="L200" s="133"/>
      <c r="M200" s="133"/>
      <c r="N200" s="133"/>
      <c r="O200" s="133"/>
      <c r="P200" s="133"/>
      <c r="Q200" s="133"/>
      <c r="R200" s="133"/>
      <c r="S200" s="133"/>
      <c r="T200" s="133"/>
      <c r="U200" s="133"/>
      <c r="V200" s="133"/>
      <c r="W200" s="133"/>
      <c r="X200" s="133"/>
      <c r="Y200" s="133"/>
      <c r="Z200" s="133"/>
      <c r="AA200" s="133"/>
      <c r="AB200" s="133"/>
      <c r="AC200" s="133"/>
      <c r="AD200" s="133"/>
      <c r="AE200" s="133"/>
      <c r="AF200" s="133"/>
      <c r="AG200" s="133"/>
      <c r="AH200" s="133"/>
      <c r="AI200" s="133"/>
      <c r="AJ200" s="133"/>
      <c r="AK200" s="133"/>
      <c r="AL200" s="133"/>
      <c r="AM200" s="133"/>
      <c r="AN200" s="133"/>
      <c r="AO200" s="133"/>
      <c r="AP200" s="133"/>
      <c r="AQ200" s="133"/>
      <c r="AR200" s="133"/>
      <c r="AS200" s="133"/>
      <c r="AT200" s="133"/>
      <c r="AU200" s="133"/>
      <c r="AV200" s="133"/>
      <c r="AW200" s="133"/>
      <c r="AX200" s="133"/>
      <c r="AY200" s="133"/>
      <c r="AZ200" s="133"/>
      <c r="BA200" s="133"/>
      <c r="BB200" s="133"/>
      <c r="BI200" s="34"/>
      <c r="BJ200" s="34"/>
      <c r="BK200" s="34"/>
      <c r="BL200" s="34"/>
      <c r="BM200" s="34"/>
      <c r="BN200" s="34"/>
      <c r="BO200" s="34"/>
      <c r="BP200" s="34"/>
      <c r="BQ200" s="34"/>
      <c r="BR200" s="34"/>
      <c r="BS200" s="34"/>
      <c r="BT200" s="249"/>
    </row>
    <row r="201" s="26" customFormat="1" spans="1:72">
      <c r="A201" s="133"/>
      <c r="B201" s="133"/>
      <c r="C201" s="133"/>
      <c r="D201" s="133"/>
      <c r="E201" s="133"/>
      <c r="F201" s="133"/>
      <c r="G201" s="133"/>
      <c r="H201" s="133"/>
      <c r="I201" s="133"/>
      <c r="J201" s="133"/>
      <c r="K201" s="133"/>
      <c r="L201" s="133"/>
      <c r="M201" s="133"/>
      <c r="N201" s="133"/>
      <c r="O201" s="133"/>
      <c r="P201" s="133"/>
      <c r="Q201" s="133"/>
      <c r="R201" s="133"/>
      <c r="S201" s="133"/>
      <c r="T201" s="133"/>
      <c r="U201" s="133"/>
      <c r="V201" s="133"/>
      <c r="W201" s="133"/>
      <c r="X201" s="133"/>
      <c r="Y201" s="133"/>
      <c r="Z201" s="133"/>
      <c r="AA201" s="133"/>
      <c r="AB201" s="133"/>
      <c r="AC201" s="133"/>
      <c r="AD201" s="133"/>
      <c r="AE201" s="133"/>
      <c r="AF201" s="133"/>
      <c r="AG201" s="133"/>
      <c r="AH201" s="133"/>
      <c r="AI201" s="133"/>
      <c r="AJ201" s="133"/>
      <c r="AK201" s="133"/>
      <c r="AL201" s="133"/>
      <c r="AM201" s="133"/>
      <c r="AN201" s="133"/>
      <c r="AO201" s="133"/>
      <c r="AP201" s="133"/>
      <c r="AQ201" s="133"/>
      <c r="AR201" s="133"/>
      <c r="AS201" s="133"/>
      <c r="AT201" s="133"/>
      <c r="AU201" s="133"/>
      <c r="AV201" s="133"/>
      <c r="AW201" s="133"/>
      <c r="AX201" s="133"/>
      <c r="AY201" s="133"/>
      <c r="AZ201" s="133"/>
      <c r="BA201" s="133"/>
      <c r="BB201" s="133"/>
      <c r="BI201" s="34"/>
      <c r="BJ201" s="34"/>
      <c r="BK201" s="34"/>
      <c r="BL201" s="34"/>
      <c r="BM201" s="34"/>
      <c r="BN201" s="34"/>
      <c r="BO201" s="34"/>
      <c r="BP201" s="34"/>
      <c r="BQ201" s="34"/>
      <c r="BR201" s="34"/>
      <c r="BS201" s="34"/>
      <c r="BT201" s="249"/>
    </row>
    <row r="202" s="26" customFormat="1" spans="1:72">
      <c r="A202" s="133"/>
      <c r="B202" s="133"/>
      <c r="C202" s="133"/>
      <c r="D202" s="133"/>
      <c r="E202" s="133"/>
      <c r="F202" s="133"/>
      <c r="G202" s="133"/>
      <c r="H202" s="133"/>
      <c r="I202" s="133"/>
      <c r="J202" s="133"/>
      <c r="K202" s="133"/>
      <c r="L202" s="133"/>
      <c r="M202" s="133"/>
      <c r="N202" s="133"/>
      <c r="O202" s="133"/>
      <c r="P202" s="133"/>
      <c r="Q202" s="133"/>
      <c r="R202" s="133"/>
      <c r="S202" s="133"/>
      <c r="T202" s="133"/>
      <c r="U202" s="133"/>
      <c r="V202" s="133"/>
      <c r="W202" s="133"/>
      <c r="X202" s="133"/>
      <c r="Y202" s="133"/>
      <c r="Z202" s="133"/>
      <c r="AA202" s="133"/>
      <c r="AB202" s="133"/>
      <c r="AC202" s="133"/>
      <c r="AD202" s="133"/>
      <c r="AE202" s="133"/>
      <c r="AF202" s="133"/>
      <c r="AG202" s="133"/>
      <c r="AH202" s="133"/>
      <c r="AI202" s="133"/>
      <c r="AJ202" s="133"/>
      <c r="AK202" s="133"/>
      <c r="AL202" s="133"/>
      <c r="AM202" s="133"/>
      <c r="AN202" s="133"/>
      <c r="AO202" s="133"/>
      <c r="AP202" s="133"/>
      <c r="AQ202" s="133"/>
      <c r="AR202" s="133"/>
      <c r="AS202" s="133"/>
      <c r="AT202" s="133"/>
      <c r="AU202" s="133"/>
      <c r="AV202" s="133"/>
      <c r="AW202" s="133"/>
      <c r="AX202" s="133"/>
      <c r="AY202" s="133"/>
      <c r="AZ202" s="133"/>
      <c r="BA202" s="133"/>
      <c r="BB202" s="133"/>
      <c r="BI202" s="34"/>
      <c r="BJ202" s="34"/>
      <c r="BK202" s="34"/>
      <c r="BL202" s="34"/>
      <c r="BM202" s="34"/>
      <c r="BN202" s="34"/>
      <c r="BO202" s="34"/>
      <c r="BP202" s="34"/>
      <c r="BQ202" s="34"/>
      <c r="BR202" s="34"/>
      <c r="BS202" s="34"/>
      <c r="BT202" s="249"/>
    </row>
    <row r="203" s="26" customFormat="1" spans="1:72">
      <c r="A203" s="133"/>
      <c r="B203" s="133"/>
      <c r="C203" s="133"/>
      <c r="D203" s="133"/>
      <c r="E203" s="133"/>
      <c r="F203" s="133"/>
      <c r="G203" s="133"/>
      <c r="H203" s="133"/>
      <c r="I203" s="133"/>
      <c r="J203" s="133"/>
      <c r="K203" s="133"/>
      <c r="L203" s="133"/>
      <c r="M203" s="133"/>
      <c r="N203" s="133"/>
      <c r="O203" s="133"/>
      <c r="P203" s="133"/>
      <c r="Q203" s="133"/>
      <c r="R203" s="133"/>
      <c r="S203" s="133"/>
      <c r="T203" s="133"/>
      <c r="U203" s="133"/>
      <c r="V203" s="133"/>
      <c r="W203" s="133"/>
      <c r="X203" s="133"/>
      <c r="Y203" s="133"/>
      <c r="Z203" s="133"/>
      <c r="AA203" s="133"/>
      <c r="AB203" s="133"/>
      <c r="AC203" s="133"/>
      <c r="AD203" s="133"/>
      <c r="AE203" s="133"/>
      <c r="AF203" s="133"/>
      <c r="AG203" s="133"/>
      <c r="AH203" s="133"/>
      <c r="AI203" s="133"/>
      <c r="AJ203" s="133"/>
      <c r="AK203" s="133"/>
      <c r="AL203" s="133"/>
      <c r="AM203" s="133"/>
      <c r="AN203" s="133"/>
      <c r="AO203" s="133"/>
      <c r="AP203" s="133"/>
      <c r="AQ203" s="133"/>
      <c r="AR203" s="133"/>
      <c r="AS203" s="133"/>
      <c r="AT203" s="133"/>
      <c r="AU203" s="133"/>
      <c r="AV203" s="133"/>
      <c r="AW203" s="133"/>
      <c r="AX203" s="133"/>
      <c r="AY203" s="133"/>
      <c r="AZ203" s="133"/>
      <c r="BA203" s="133"/>
      <c r="BB203" s="133"/>
      <c r="BI203" s="34"/>
      <c r="BJ203" s="34"/>
      <c r="BK203" s="34"/>
      <c r="BL203" s="34"/>
      <c r="BM203" s="34"/>
      <c r="BN203" s="34"/>
      <c r="BO203" s="34"/>
      <c r="BP203" s="34"/>
      <c r="BQ203" s="34"/>
      <c r="BR203" s="34"/>
      <c r="BS203" s="34"/>
      <c r="BT203" s="249"/>
    </row>
    <row r="204" s="26" customFormat="1" spans="1:72">
      <c r="A204" s="133"/>
      <c r="B204" s="133"/>
      <c r="C204" s="133"/>
      <c r="D204" s="133"/>
      <c r="E204" s="133"/>
      <c r="F204" s="133"/>
      <c r="G204" s="133"/>
      <c r="H204" s="133"/>
      <c r="I204" s="133"/>
      <c r="J204" s="133"/>
      <c r="K204" s="133"/>
      <c r="L204" s="133"/>
      <c r="M204" s="133"/>
      <c r="N204" s="133"/>
      <c r="O204" s="133"/>
      <c r="P204" s="133"/>
      <c r="Q204" s="133"/>
      <c r="R204" s="133"/>
      <c r="S204" s="133"/>
      <c r="T204" s="133"/>
      <c r="U204" s="133"/>
      <c r="V204" s="133"/>
      <c r="W204" s="133"/>
      <c r="X204" s="133"/>
      <c r="Y204" s="133"/>
      <c r="Z204" s="133"/>
      <c r="AA204" s="133"/>
      <c r="AB204" s="133"/>
      <c r="AC204" s="133"/>
      <c r="AD204" s="133"/>
      <c r="AE204" s="133"/>
      <c r="AF204" s="133"/>
      <c r="AG204" s="133"/>
      <c r="AH204" s="133"/>
      <c r="AI204" s="133"/>
      <c r="AJ204" s="133"/>
      <c r="AK204" s="133"/>
      <c r="AL204" s="133"/>
      <c r="AM204" s="133"/>
      <c r="AN204" s="133"/>
      <c r="AO204" s="133"/>
      <c r="AP204" s="133"/>
      <c r="AQ204" s="133"/>
      <c r="AR204" s="133"/>
      <c r="AS204" s="133"/>
      <c r="AT204" s="133"/>
      <c r="AU204" s="133"/>
      <c r="AV204" s="133"/>
      <c r="AW204" s="133"/>
      <c r="AX204" s="133"/>
      <c r="AY204" s="133"/>
      <c r="AZ204" s="133"/>
      <c r="BA204" s="133"/>
      <c r="BB204" s="133"/>
      <c r="BI204" s="34"/>
      <c r="BJ204" s="34"/>
      <c r="BK204" s="34"/>
      <c r="BL204" s="34"/>
      <c r="BM204" s="34"/>
      <c r="BN204" s="34"/>
      <c r="BO204" s="34"/>
      <c r="BP204" s="34"/>
      <c r="BQ204" s="34"/>
      <c r="BR204" s="34"/>
      <c r="BS204" s="34"/>
      <c r="BT204" s="249"/>
    </row>
    <row r="205" s="26" customFormat="1" spans="1:72">
      <c r="A205" s="133"/>
      <c r="B205" s="133"/>
      <c r="C205" s="133"/>
      <c r="D205" s="133"/>
      <c r="E205" s="133"/>
      <c r="F205" s="133"/>
      <c r="G205" s="133"/>
      <c r="H205" s="133"/>
      <c r="I205" s="133"/>
      <c r="J205" s="133"/>
      <c r="K205" s="133"/>
      <c r="L205" s="133"/>
      <c r="M205" s="133"/>
      <c r="N205" s="133"/>
      <c r="O205" s="133"/>
      <c r="P205" s="133"/>
      <c r="Q205" s="133"/>
      <c r="R205" s="133"/>
      <c r="S205" s="133"/>
      <c r="T205" s="133"/>
      <c r="U205" s="133"/>
      <c r="V205" s="133"/>
      <c r="W205" s="133"/>
      <c r="X205" s="133"/>
      <c r="Y205" s="133"/>
      <c r="Z205" s="133"/>
      <c r="AA205" s="133"/>
      <c r="AB205" s="133"/>
      <c r="AC205" s="133"/>
      <c r="AD205" s="133"/>
      <c r="AE205" s="133"/>
      <c r="AF205" s="133"/>
      <c r="AG205" s="133"/>
      <c r="AH205" s="133"/>
      <c r="AI205" s="133"/>
      <c r="AJ205" s="133"/>
      <c r="AK205" s="133"/>
      <c r="AL205" s="133"/>
      <c r="AM205" s="133"/>
      <c r="AN205" s="133"/>
      <c r="AO205" s="133"/>
      <c r="AP205" s="133"/>
      <c r="AQ205" s="133"/>
      <c r="AR205" s="133"/>
      <c r="AS205" s="133"/>
      <c r="AT205" s="133"/>
      <c r="AU205" s="133"/>
      <c r="AV205" s="133"/>
      <c r="AW205" s="133"/>
      <c r="AX205" s="133"/>
      <c r="AY205" s="133"/>
      <c r="AZ205" s="133"/>
      <c r="BA205" s="133"/>
      <c r="BB205" s="133"/>
      <c r="BI205" s="34"/>
      <c r="BJ205" s="34"/>
      <c r="BK205" s="34"/>
      <c r="BL205" s="34"/>
      <c r="BM205" s="34"/>
      <c r="BN205" s="34"/>
      <c r="BO205" s="34"/>
      <c r="BP205" s="34"/>
      <c r="BQ205" s="34"/>
      <c r="BR205" s="34"/>
      <c r="BS205" s="34"/>
      <c r="BT205" s="249"/>
    </row>
    <row r="206" s="26" customFormat="1" spans="1:72">
      <c r="A206" s="133"/>
      <c r="B206" s="133"/>
      <c r="C206" s="133"/>
      <c r="D206" s="133"/>
      <c r="E206" s="133"/>
      <c r="F206" s="133"/>
      <c r="G206" s="133"/>
      <c r="H206" s="133"/>
      <c r="I206" s="133"/>
      <c r="J206" s="133"/>
      <c r="K206" s="133"/>
      <c r="L206" s="133"/>
      <c r="M206" s="133"/>
      <c r="N206" s="133"/>
      <c r="O206" s="133"/>
      <c r="P206" s="133"/>
      <c r="Q206" s="133"/>
      <c r="R206" s="133"/>
      <c r="S206" s="133"/>
      <c r="T206" s="133"/>
      <c r="U206" s="133"/>
      <c r="V206" s="133"/>
      <c r="W206" s="133"/>
      <c r="X206" s="133"/>
      <c r="Y206" s="133"/>
      <c r="Z206" s="133"/>
      <c r="AA206" s="133"/>
      <c r="AB206" s="133"/>
      <c r="AC206" s="133"/>
      <c r="AD206" s="133"/>
      <c r="AE206" s="133"/>
      <c r="AF206" s="133"/>
      <c r="AG206" s="133"/>
      <c r="AH206" s="133"/>
      <c r="AI206" s="133"/>
      <c r="AJ206" s="133"/>
      <c r="AK206" s="133"/>
      <c r="AL206" s="133"/>
      <c r="AM206" s="133"/>
      <c r="AN206" s="133"/>
      <c r="AO206" s="133"/>
      <c r="AP206" s="133"/>
      <c r="AQ206" s="133"/>
      <c r="AR206" s="133"/>
      <c r="AS206" s="133"/>
      <c r="AT206" s="133"/>
      <c r="AU206" s="133"/>
      <c r="AV206" s="133"/>
      <c r="AW206" s="133"/>
      <c r="AX206" s="133"/>
      <c r="AY206" s="133"/>
      <c r="AZ206" s="133"/>
      <c r="BA206" s="133"/>
      <c r="BB206" s="133"/>
      <c r="BI206" s="34"/>
      <c r="BJ206" s="34"/>
      <c r="BK206" s="34"/>
      <c r="BL206" s="34"/>
      <c r="BM206" s="34"/>
      <c r="BN206" s="34"/>
      <c r="BO206" s="34"/>
      <c r="BP206" s="34"/>
      <c r="BQ206" s="34"/>
      <c r="BR206" s="34"/>
      <c r="BS206" s="34"/>
      <c r="BT206" s="249"/>
    </row>
    <row r="207" s="26" customFormat="1" spans="1:72">
      <c r="A207" s="133"/>
      <c r="B207" s="133"/>
      <c r="C207" s="133"/>
      <c r="D207" s="133"/>
      <c r="E207" s="133"/>
      <c r="F207" s="133"/>
      <c r="G207" s="133"/>
      <c r="H207" s="133"/>
      <c r="I207" s="133"/>
      <c r="J207" s="133"/>
      <c r="K207" s="133"/>
      <c r="L207" s="133"/>
      <c r="M207" s="133"/>
      <c r="N207" s="133"/>
      <c r="O207" s="133"/>
      <c r="P207" s="133"/>
      <c r="Q207" s="133"/>
      <c r="R207" s="133"/>
      <c r="S207" s="133"/>
      <c r="T207" s="133"/>
      <c r="U207" s="133"/>
      <c r="V207" s="133"/>
      <c r="W207" s="133"/>
      <c r="X207" s="133"/>
      <c r="Y207" s="133"/>
      <c r="Z207" s="133"/>
      <c r="AA207" s="133"/>
      <c r="AB207" s="133"/>
      <c r="AC207" s="133"/>
      <c r="AD207" s="133"/>
      <c r="AE207" s="133"/>
      <c r="AF207" s="133"/>
      <c r="AG207" s="133"/>
      <c r="AH207" s="133"/>
      <c r="AI207" s="133"/>
      <c r="AJ207" s="133"/>
      <c r="AK207" s="133"/>
      <c r="AL207" s="133"/>
      <c r="AM207" s="133"/>
      <c r="AN207" s="133"/>
      <c r="AO207" s="133"/>
      <c r="AP207" s="133"/>
      <c r="AQ207" s="133"/>
      <c r="AR207" s="133"/>
      <c r="AS207" s="133"/>
      <c r="AT207" s="133"/>
      <c r="AU207" s="133"/>
      <c r="AV207" s="133"/>
      <c r="AW207" s="133"/>
      <c r="AX207" s="133"/>
      <c r="AY207" s="133"/>
      <c r="AZ207" s="133"/>
      <c r="BA207" s="133"/>
      <c r="BB207" s="133"/>
      <c r="BI207" s="34"/>
      <c r="BJ207" s="34"/>
      <c r="BK207" s="34"/>
      <c r="BL207" s="34"/>
      <c r="BM207" s="34"/>
      <c r="BN207" s="34"/>
      <c r="BO207" s="34"/>
      <c r="BP207" s="34"/>
      <c r="BQ207" s="34"/>
      <c r="BR207" s="34"/>
      <c r="BS207" s="34"/>
      <c r="BT207" s="249"/>
    </row>
    <row r="208" s="26" customFormat="1" spans="1:72">
      <c r="A208" s="133"/>
      <c r="B208" s="133"/>
      <c r="C208" s="133"/>
      <c r="D208" s="133"/>
      <c r="E208" s="133"/>
      <c r="F208" s="133"/>
      <c r="G208" s="133"/>
      <c r="H208" s="133"/>
      <c r="I208" s="133"/>
      <c r="J208" s="133"/>
      <c r="K208" s="133"/>
      <c r="L208" s="133"/>
      <c r="M208" s="133"/>
      <c r="N208" s="133"/>
      <c r="O208" s="133"/>
      <c r="P208" s="133"/>
      <c r="Q208" s="133"/>
      <c r="R208" s="133"/>
      <c r="S208" s="133"/>
      <c r="T208" s="133"/>
      <c r="U208" s="133"/>
      <c r="V208" s="133"/>
      <c r="W208" s="133"/>
      <c r="X208" s="133"/>
      <c r="Y208" s="133"/>
      <c r="Z208" s="133"/>
      <c r="AA208" s="133"/>
      <c r="AB208" s="133"/>
      <c r="AC208" s="133"/>
      <c r="AD208" s="133"/>
      <c r="AE208" s="133"/>
      <c r="AF208" s="133"/>
      <c r="AG208" s="133"/>
      <c r="AH208" s="133"/>
      <c r="AI208" s="133"/>
      <c r="AJ208" s="133"/>
      <c r="AK208" s="133"/>
      <c r="AL208" s="133"/>
      <c r="AM208" s="133"/>
      <c r="AN208" s="133"/>
      <c r="AO208" s="133"/>
      <c r="AP208" s="133"/>
      <c r="AQ208" s="133"/>
      <c r="AR208" s="133"/>
      <c r="AS208" s="133"/>
      <c r="AT208" s="133"/>
      <c r="AU208" s="133"/>
      <c r="AV208" s="133"/>
      <c r="AW208" s="133"/>
      <c r="AX208" s="133"/>
      <c r="AY208" s="133"/>
      <c r="AZ208" s="133"/>
      <c r="BA208" s="133"/>
      <c r="BB208" s="133"/>
      <c r="BI208" s="34"/>
      <c r="BJ208" s="34"/>
      <c r="BK208" s="34"/>
      <c r="BL208" s="34"/>
      <c r="BM208" s="34"/>
      <c r="BN208" s="34"/>
      <c r="BO208" s="34"/>
      <c r="BP208" s="34"/>
      <c r="BQ208" s="34"/>
      <c r="BR208" s="34"/>
      <c r="BS208" s="34"/>
      <c r="BT208" s="249"/>
    </row>
    <row r="209" s="26" customFormat="1" spans="1:72">
      <c r="A209" s="133"/>
      <c r="B209" s="133"/>
      <c r="C209" s="133"/>
      <c r="D209" s="133"/>
      <c r="E209" s="133"/>
      <c r="F209" s="133"/>
      <c r="G209" s="133"/>
      <c r="H209" s="133"/>
      <c r="I209" s="133"/>
      <c r="J209" s="133"/>
      <c r="K209" s="133"/>
      <c r="L209" s="133"/>
      <c r="M209" s="133"/>
      <c r="N209" s="133"/>
      <c r="O209" s="133"/>
      <c r="P209" s="133"/>
      <c r="Q209" s="133"/>
      <c r="R209" s="133"/>
      <c r="S209" s="133"/>
      <c r="T209" s="133"/>
      <c r="U209" s="133"/>
      <c r="V209" s="133"/>
      <c r="W209" s="133"/>
      <c r="X209" s="133"/>
      <c r="Y209" s="133"/>
      <c r="Z209" s="133"/>
      <c r="AA209" s="133"/>
      <c r="AB209" s="133"/>
      <c r="AC209" s="133"/>
      <c r="AD209" s="133"/>
      <c r="AE209" s="133"/>
      <c r="AF209" s="133"/>
      <c r="AG209" s="133"/>
      <c r="AH209" s="133"/>
      <c r="AI209" s="133"/>
      <c r="AJ209" s="133"/>
      <c r="AK209" s="133"/>
      <c r="AL209" s="133"/>
      <c r="AM209" s="133"/>
      <c r="AN209" s="133"/>
      <c r="AO209" s="133"/>
      <c r="AP209" s="133"/>
      <c r="AQ209" s="133"/>
      <c r="AR209" s="133"/>
      <c r="AS209" s="133"/>
      <c r="AT209" s="133"/>
      <c r="AU209" s="133"/>
      <c r="AV209" s="133"/>
      <c r="AW209" s="133"/>
      <c r="AX209" s="133"/>
      <c r="AY209" s="133"/>
      <c r="AZ209" s="133"/>
      <c r="BA209" s="133"/>
      <c r="BB209" s="133"/>
      <c r="BI209" s="34"/>
      <c r="BJ209" s="34"/>
      <c r="BK209" s="34"/>
      <c r="BL209" s="34"/>
      <c r="BM209" s="34"/>
      <c r="BN209" s="34"/>
      <c r="BO209" s="34"/>
      <c r="BP209" s="34"/>
      <c r="BQ209" s="34"/>
      <c r="BR209" s="34"/>
      <c r="BS209" s="34"/>
      <c r="BT209" s="249"/>
    </row>
    <row r="210" s="26" customFormat="1" spans="1:72">
      <c r="A210" s="133"/>
      <c r="B210" s="133"/>
      <c r="C210" s="133"/>
      <c r="D210" s="133"/>
      <c r="E210" s="133"/>
      <c r="F210" s="133"/>
      <c r="G210" s="133"/>
      <c r="H210" s="133"/>
      <c r="I210" s="133"/>
      <c r="J210" s="133"/>
      <c r="K210" s="133"/>
      <c r="L210" s="133"/>
      <c r="M210" s="133"/>
      <c r="N210" s="133"/>
      <c r="O210" s="133"/>
      <c r="P210" s="133"/>
      <c r="Q210" s="133"/>
      <c r="R210" s="133"/>
      <c r="S210" s="133"/>
      <c r="T210" s="133"/>
      <c r="U210" s="133"/>
      <c r="V210" s="133"/>
      <c r="W210" s="133"/>
      <c r="X210" s="133"/>
      <c r="Y210" s="133"/>
      <c r="Z210" s="133"/>
      <c r="AA210" s="133"/>
      <c r="AB210" s="133"/>
      <c r="AC210" s="133"/>
      <c r="AD210" s="133"/>
      <c r="AE210" s="133"/>
      <c r="AF210" s="133"/>
      <c r="AG210" s="133"/>
      <c r="AH210" s="133"/>
      <c r="AI210" s="133"/>
      <c r="AJ210" s="133"/>
      <c r="AK210" s="133"/>
      <c r="AL210" s="133"/>
      <c r="AM210" s="133"/>
      <c r="AN210" s="133"/>
      <c r="AO210" s="133"/>
      <c r="AP210" s="133"/>
      <c r="AQ210" s="133"/>
      <c r="AR210" s="133"/>
      <c r="AS210" s="133"/>
      <c r="AT210" s="133"/>
      <c r="AU210" s="133"/>
      <c r="AV210" s="133"/>
      <c r="AW210" s="133"/>
      <c r="AX210" s="133"/>
      <c r="AY210" s="133"/>
      <c r="AZ210" s="133"/>
      <c r="BA210" s="133"/>
      <c r="BB210" s="133"/>
      <c r="BI210" s="34"/>
      <c r="BJ210" s="34"/>
      <c r="BK210" s="34"/>
      <c r="BL210" s="34"/>
      <c r="BM210" s="34"/>
      <c r="BN210" s="34"/>
      <c r="BO210" s="34"/>
      <c r="BP210" s="34"/>
      <c r="BQ210" s="34"/>
      <c r="BR210" s="34"/>
      <c r="BS210" s="34"/>
      <c r="BT210" s="249"/>
    </row>
    <row r="211" s="26" customFormat="1" spans="1:72">
      <c r="A211" s="133"/>
      <c r="B211" s="133"/>
      <c r="C211" s="133"/>
      <c r="D211" s="133"/>
      <c r="E211" s="133"/>
      <c r="F211" s="133"/>
      <c r="G211" s="133"/>
      <c r="H211" s="133"/>
      <c r="I211" s="133"/>
      <c r="J211" s="133"/>
      <c r="K211" s="133"/>
      <c r="L211" s="133"/>
      <c r="M211" s="133"/>
      <c r="N211" s="133"/>
      <c r="O211" s="133"/>
      <c r="P211" s="133"/>
      <c r="Q211" s="133"/>
      <c r="R211" s="133"/>
      <c r="S211" s="133"/>
      <c r="T211" s="133"/>
      <c r="U211" s="133"/>
      <c r="V211" s="133"/>
      <c r="W211" s="133"/>
      <c r="X211" s="133"/>
      <c r="Y211" s="133"/>
      <c r="Z211" s="133"/>
      <c r="AA211" s="133"/>
      <c r="AB211" s="133"/>
      <c r="AC211" s="133"/>
      <c r="AD211" s="133"/>
      <c r="AE211" s="133"/>
      <c r="AF211" s="133"/>
      <c r="AG211" s="133"/>
      <c r="AH211" s="133"/>
      <c r="AI211" s="133"/>
      <c r="AJ211" s="133"/>
      <c r="AK211" s="133"/>
      <c r="AL211" s="133"/>
      <c r="AM211" s="133"/>
      <c r="AN211" s="133"/>
      <c r="AO211" s="133"/>
      <c r="AP211" s="133"/>
      <c r="AQ211" s="133"/>
      <c r="AR211" s="133"/>
      <c r="AS211" s="133"/>
      <c r="AT211" s="133"/>
      <c r="AU211" s="133"/>
      <c r="AV211" s="133"/>
      <c r="AW211" s="133"/>
      <c r="AX211" s="133"/>
      <c r="AY211" s="133"/>
      <c r="AZ211" s="133"/>
      <c r="BA211" s="133"/>
      <c r="BB211" s="133"/>
      <c r="BI211" s="34"/>
      <c r="BJ211" s="34"/>
      <c r="BK211" s="34"/>
      <c r="BL211" s="34"/>
      <c r="BM211" s="34"/>
      <c r="BN211" s="34"/>
      <c r="BO211" s="34"/>
      <c r="BP211" s="34"/>
      <c r="BQ211" s="34"/>
      <c r="BR211" s="34"/>
      <c r="BS211" s="34"/>
      <c r="BT211" s="249"/>
    </row>
    <row r="212" s="26" customFormat="1" spans="1:72">
      <c r="A212" s="133"/>
      <c r="B212" s="133"/>
      <c r="C212" s="133"/>
      <c r="D212" s="133"/>
      <c r="E212" s="133"/>
      <c r="F212" s="133"/>
      <c r="G212" s="133"/>
      <c r="H212" s="133"/>
      <c r="I212" s="133"/>
      <c r="J212" s="133"/>
      <c r="K212" s="133"/>
      <c r="L212" s="133"/>
      <c r="M212" s="133"/>
      <c r="N212" s="133"/>
      <c r="O212" s="133"/>
      <c r="P212" s="133"/>
      <c r="Q212" s="133"/>
      <c r="R212" s="133"/>
      <c r="S212" s="133"/>
      <c r="T212" s="133"/>
      <c r="U212" s="133"/>
      <c r="V212" s="133"/>
      <c r="W212" s="133"/>
      <c r="X212" s="133"/>
      <c r="Y212" s="133"/>
      <c r="Z212" s="133"/>
      <c r="AA212" s="133"/>
      <c r="AB212" s="133"/>
      <c r="AC212" s="133"/>
      <c r="AD212" s="133"/>
      <c r="AE212" s="133"/>
      <c r="AF212" s="133"/>
      <c r="AG212" s="133"/>
      <c r="AH212" s="133"/>
      <c r="AI212" s="133"/>
      <c r="AJ212" s="133"/>
      <c r="AK212" s="133"/>
      <c r="AL212" s="133"/>
      <c r="AM212" s="133"/>
      <c r="AN212" s="133"/>
      <c r="AO212" s="133"/>
      <c r="AP212" s="133"/>
      <c r="AQ212" s="133"/>
      <c r="AR212" s="133"/>
      <c r="AS212" s="133"/>
      <c r="AT212" s="133"/>
      <c r="AU212" s="133"/>
      <c r="AV212" s="133"/>
      <c r="AW212" s="133"/>
      <c r="AX212" s="133"/>
      <c r="AY212" s="133"/>
      <c r="AZ212" s="133"/>
      <c r="BA212" s="133"/>
      <c r="BB212" s="133"/>
      <c r="BI212" s="34"/>
      <c r="BJ212" s="34"/>
      <c r="BK212" s="34"/>
      <c r="BL212" s="34"/>
      <c r="BM212" s="34"/>
      <c r="BN212" s="34"/>
      <c r="BO212" s="34"/>
      <c r="BP212" s="34"/>
      <c r="BQ212" s="34"/>
      <c r="BR212" s="34"/>
      <c r="BS212" s="34"/>
      <c r="BT212" s="249"/>
    </row>
    <row r="213" s="26" customFormat="1" spans="1:72">
      <c r="A213" s="133"/>
      <c r="B213" s="133"/>
      <c r="C213" s="133"/>
      <c r="D213" s="133"/>
      <c r="E213" s="133"/>
      <c r="F213" s="133"/>
      <c r="G213" s="133"/>
      <c r="H213" s="133"/>
      <c r="I213" s="133"/>
      <c r="J213" s="133"/>
      <c r="K213" s="133"/>
      <c r="L213" s="133"/>
      <c r="M213" s="133"/>
      <c r="N213" s="133"/>
      <c r="O213" s="133"/>
      <c r="P213" s="133"/>
      <c r="Q213" s="133"/>
      <c r="R213" s="133"/>
      <c r="S213" s="133"/>
      <c r="T213" s="133"/>
      <c r="U213" s="133"/>
      <c r="V213" s="133"/>
      <c r="W213" s="133"/>
      <c r="X213" s="133"/>
      <c r="Y213" s="133"/>
      <c r="Z213" s="133"/>
      <c r="AA213" s="133"/>
      <c r="AB213" s="133"/>
      <c r="AC213" s="133"/>
      <c r="AD213" s="133"/>
      <c r="AE213" s="133"/>
      <c r="AF213" s="133"/>
      <c r="AG213" s="133"/>
      <c r="AH213" s="133"/>
      <c r="AI213" s="133"/>
      <c r="AJ213" s="133"/>
      <c r="AK213" s="133"/>
      <c r="AL213" s="133"/>
      <c r="AM213" s="133"/>
      <c r="AN213" s="133"/>
      <c r="AO213" s="133"/>
      <c r="AP213" s="133"/>
      <c r="AQ213" s="133"/>
      <c r="AR213" s="133"/>
      <c r="AS213" s="133"/>
      <c r="AT213" s="133"/>
      <c r="AU213" s="133"/>
      <c r="AV213" s="133"/>
      <c r="AW213" s="133"/>
      <c r="AX213" s="133"/>
      <c r="AY213" s="133"/>
      <c r="AZ213" s="133"/>
      <c r="BA213" s="133"/>
      <c r="BB213" s="133"/>
      <c r="BI213" s="34"/>
      <c r="BJ213" s="34"/>
      <c r="BK213" s="34"/>
      <c r="BL213" s="34"/>
      <c r="BM213" s="34"/>
      <c r="BN213" s="34"/>
      <c r="BO213" s="34"/>
      <c r="BP213" s="34"/>
      <c r="BQ213" s="34"/>
      <c r="BR213" s="34"/>
      <c r="BS213" s="34"/>
      <c r="BT213" s="249"/>
    </row>
  </sheetData>
  <sheetProtection password="D01C" sheet="1" selectLockedCells="1" objects="1"/>
  <mergeCells count="534">
    <mergeCell ref="B7:O7"/>
    <mergeCell ref="G9:H9"/>
    <mergeCell ref="I9:J9"/>
    <mergeCell ref="E14:G14"/>
    <mergeCell ref="H14:K14"/>
    <mergeCell ref="E15:G15"/>
    <mergeCell ref="H15:K15"/>
    <mergeCell ref="E16:G16"/>
    <mergeCell ref="H16:K16"/>
    <mergeCell ref="E17:G17"/>
    <mergeCell ref="H17:K17"/>
    <mergeCell ref="E18:G18"/>
    <mergeCell ref="H18:K18"/>
    <mergeCell ref="E19:G19"/>
    <mergeCell ref="H19:K19"/>
    <mergeCell ref="E20:G20"/>
    <mergeCell ref="H20:K20"/>
    <mergeCell ref="B23:O23"/>
    <mergeCell ref="C25:D25"/>
    <mergeCell ref="F25:G25"/>
    <mergeCell ref="H25:I25"/>
    <mergeCell ref="J25:K25"/>
    <mergeCell ref="L25:M25"/>
    <mergeCell ref="N25:O25"/>
    <mergeCell ref="B26:C26"/>
    <mergeCell ref="D26:E26"/>
    <mergeCell ref="F26:G26"/>
    <mergeCell ref="H26:I26"/>
    <mergeCell ref="J26:K26"/>
    <mergeCell ref="L26:O26"/>
    <mergeCell ref="B27:C27"/>
    <mergeCell ref="D27:E27"/>
    <mergeCell ref="F27:G27"/>
    <mergeCell ref="J27:K27"/>
    <mergeCell ref="L27:O27"/>
    <mergeCell ref="B28:C28"/>
    <mergeCell ref="D28:F28"/>
    <mergeCell ref="G28:H28"/>
    <mergeCell ref="I28:J28"/>
    <mergeCell ref="K28:M28"/>
    <mergeCell ref="B29:C29"/>
    <mergeCell ref="D29:H29"/>
    <mergeCell ref="I29:J29"/>
    <mergeCell ref="K29:O29"/>
    <mergeCell ref="B30:O30"/>
    <mergeCell ref="C31:G31"/>
    <mergeCell ref="H31:M31"/>
    <mergeCell ref="C32:G32"/>
    <mergeCell ref="H32:M32"/>
    <mergeCell ref="C33:G33"/>
    <mergeCell ref="H33:M33"/>
    <mergeCell ref="C34:D34"/>
    <mergeCell ref="F34:G34"/>
    <mergeCell ref="H34:I34"/>
    <mergeCell ref="J34:K34"/>
    <mergeCell ref="L34:M34"/>
    <mergeCell ref="C35:D35"/>
    <mergeCell ref="F35:G35"/>
    <mergeCell ref="H35:I35"/>
    <mergeCell ref="J35:K35"/>
    <mergeCell ref="L35:M35"/>
    <mergeCell ref="C36:F36"/>
    <mergeCell ref="G36:I36"/>
    <mergeCell ref="J36:M36"/>
    <mergeCell ref="C37:F37"/>
    <mergeCell ref="G37:I37"/>
    <mergeCell ref="J37:M37"/>
    <mergeCell ref="C38:F38"/>
    <mergeCell ref="G38:I38"/>
    <mergeCell ref="J38:M38"/>
    <mergeCell ref="C39:F39"/>
    <mergeCell ref="G39:I39"/>
    <mergeCell ref="J39:M39"/>
    <mergeCell ref="C40:F40"/>
    <mergeCell ref="G40:I40"/>
    <mergeCell ref="J40:L40"/>
    <mergeCell ref="Q40:R40"/>
    <mergeCell ref="C41:F41"/>
    <mergeCell ref="G41:I41"/>
    <mergeCell ref="J41:L41"/>
    <mergeCell ref="Q41:R41"/>
    <mergeCell ref="C42:F42"/>
    <mergeCell ref="G42:I42"/>
    <mergeCell ref="J42:L42"/>
    <mergeCell ref="Q42:R42"/>
    <mergeCell ref="C43:F43"/>
    <mergeCell ref="G43:I43"/>
    <mergeCell ref="J43:L43"/>
    <mergeCell ref="Q43:R43"/>
    <mergeCell ref="C44:D44"/>
    <mergeCell ref="E44:F44"/>
    <mergeCell ref="G44:H44"/>
    <mergeCell ref="I44:J44"/>
    <mergeCell ref="K44:L44"/>
    <mergeCell ref="Q44:R44"/>
    <mergeCell ref="C45:D45"/>
    <mergeCell ref="E45:F45"/>
    <mergeCell ref="G45:H45"/>
    <mergeCell ref="I45:J45"/>
    <mergeCell ref="K45:L45"/>
    <mergeCell ref="Q45:R45"/>
    <mergeCell ref="C46:D46"/>
    <mergeCell ref="E46:F46"/>
    <mergeCell ref="G46:I46"/>
    <mergeCell ref="J46:K46"/>
    <mergeCell ref="L46:M46"/>
    <mergeCell ref="C47:D47"/>
    <mergeCell ref="E47:F47"/>
    <mergeCell ref="G47:I47"/>
    <mergeCell ref="J47:K47"/>
    <mergeCell ref="L47:M47"/>
    <mergeCell ref="C48:D48"/>
    <mergeCell ref="E48:F48"/>
    <mergeCell ref="G48:I48"/>
    <mergeCell ref="J48:K48"/>
    <mergeCell ref="L48:M48"/>
    <mergeCell ref="C49:D49"/>
    <mergeCell ref="E49:F49"/>
    <mergeCell ref="G49:I49"/>
    <mergeCell ref="J49:K49"/>
    <mergeCell ref="L49:M49"/>
    <mergeCell ref="C50:D50"/>
    <mergeCell ref="E50:F50"/>
    <mergeCell ref="G50:I50"/>
    <mergeCell ref="J50:K50"/>
    <mergeCell ref="L50:M50"/>
    <mergeCell ref="C51:D51"/>
    <mergeCell ref="E51:F51"/>
    <mergeCell ref="G51:I51"/>
    <mergeCell ref="J51:K51"/>
    <mergeCell ref="L51:M51"/>
    <mergeCell ref="C52:D52"/>
    <mergeCell ref="E52:F52"/>
    <mergeCell ref="G52:I52"/>
    <mergeCell ref="J52:K52"/>
    <mergeCell ref="L52:M52"/>
    <mergeCell ref="C53:D53"/>
    <mergeCell ref="E53:F53"/>
    <mergeCell ref="G53:I53"/>
    <mergeCell ref="J53:K53"/>
    <mergeCell ref="L53:M53"/>
    <mergeCell ref="C54:D54"/>
    <mergeCell ref="E54:F54"/>
    <mergeCell ref="G54:I54"/>
    <mergeCell ref="J54:K54"/>
    <mergeCell ref="L54:M54"/>
    <mergeCell ref="C55:D55"/>
    <mergeCell ref="E55:F55"/>
    <mergeCell ref="G55:I55"/>
    <mergeCell ref="J55:K55"/>
    <mergeCell ref="L55:M55"/>
    <mergeCell ref="C56:D56"/>
    <mergeCell ref="E56:F56"/>
    <mergeCell ref="G56:I56"/>
    <mergeCell ref="J56:K56"/>
    <mergeCell ref="L56:M56"/>
    <mergeCell ref="C57:D57"/>
    <mergeCell ref="E57:F57"/>
    <mergeCell ref="G57:I57"/>
    <mergeCell ref="J57:K57"/>
    <mergeCell ref="L57:M57"/>
    <mergeCell ref="C58:D58"/>
    <mergeCell ref="E58:F58"/>
    <mergeCell ref="G58:I58"/>
    <mergeCell ref="J58:K58"/>
    <mergeCell ref="L58:M58"/>
    <mergeCell ref="C59:D59"/>
    <mergeCell ref="E59:F59"/>
    <mergeCell ref="G59:H59"/>
    <mergeCell ref="I59:J59"/>
    <mergeCell ref="L59:M59"/>
    <mergeCell ref="C60:D60"/>
    <mergeCell ref="E60:F60"/>
    <mergeCell ref="G60:H60"/>
    <mergeCell ref="I60:J60"/>
    <mergeCell ref="L60:M60"/>
    <mergeCell ref="C61:D61"/>
    <mergeCell ref="E61:F61"/>
    <mergeCell ref="G61:H61"/>
    <mergeCell ref="I61:J61"/>
    <mergeCell ref="L61:M61"/>
    <mergeCell ref="C62:D62"/>
    <mergeCell ref="E62:F62"/>
    <mergeCell ref="G62:H62"/>
    <mergeCell ref="I62:J62"/>
    <mergeCell ref="L62:M62"/>
    <mergeCell ref="C63:D63"/>
    <mergeCell ref="E63:F63"/>
    <mergeCell ref="G63:H63"/>
    <mergeCell ref="I63:J63"/>
    <mergeCell ref="L63:M63"/>
    <mergeCell ref="C64:D64"/>
    <mergeCell ref="E64:F64"/>
    <mergeCell ref="G64:H64"/>
    <mergeCell ref="I64:J64"/>
    <mergeCell ref="L64:M64"/>
    <mergeCell ref="C65:D65"/>
    <mergeCell ref="E65:F65"/>
    <mergeCell ref="G65:H65"/>
    <mergeCell ref="I65:J65"/>
    <mergeCell ref="L65:M65"/>
    <mergeCell ref="C66:D66"/>
    <mergeCell ref="E66:F66"/>
    <mergeCell ref="G66:H66"/>
    <mergeCell ref="I66:J66"/>
    <mergeCell ref="L66:M66"/>
    <mergeCell ref="C67:D67"/>
    <mergeCell ref="E67:F67"/>
    <mergeCell ref="G67:H67"/>
    <mergeCell ref="I67:J67"/>
    <mergeCell ref="L67:M67"/>
    <mergeCell ref="B69:O69"/>
    <mergeCell ref="B70:O70"/>
    <mergeCell ref="C71:E71"/>
    <mergeCell ref="F71:G71"/>
    <mergeCell ref="Z71:AA71"/>
    <mergeCell ref="C72:E72"/>
    <mergeCell ref="F72:G72"/>
    <mergeCell ref="Z72:AA72"/>
    <mergeCell ref="C73:E73"/>
    <mergeCell ref="F73:G73"/>
    <mergeCell ref="Z73:AA73"/>
    <mergeCell ref="C74:E74"/>
    <mergeCell ref="F74:G74"/>
    <mergeCell ref="Z74:AA74"/>
    <mergeCell ref="C75:E75"/>
    <mergeCell ref="F75:G75"/>
    <mergeCell ref="Z75:AA75"/>
    <mergeCell ref="B76:L76"/>
    <mergeCell ref="N76:O76"/>
    <mergeCell ref="B77:O77"/>
    <mergeCell ref="C78:E78"/>
    <mergeCell ref="F78:G78"/>
    <mergeCell ref="AB78:AC78"/>
    <mergeCell ref="C79:E79"/>
    <mergeCell ref="F79:G79"/>
    <mergeCell ref="AB79:AC79"/>
    <mergeCell ref="C80:E80"/>
    <mergeCell ref="F80:G80"/>
    <mergeCell ref="AB80:AC80"/>
    <mergeCell ref="B81:L81"/>
    <mergeCell ref="N81:O81"/>
    <mergeCell ref="B82:O82"/>
    <mergeCell ref="C83:F83"/>
    <mergeCell ref="Y83:Z83"/>
    <mergeCell ref="AA83:AB83"/>
    <mergeCell ref="C84:F84"/>
    <mergeCell ref="Y84:Z84"/>
    <mergeCell ref="AA84:AB84"/>
    <mergeCell ref="C85:F85"/>
    <mergeCell ref="Y85:Z85"/>
    <mergeCell ref="AA85:AB85"/>
    <mergeCell ref="C86:F86"/>
    <mergeCell ref="Y86:Z86"/>
    <mergeCell ref="AA86:AB86"/>
    <mergeCell ref="C87:F87"/>
    <mergeCell ref="Y87:Z87"/>
    <mergeCell ref="AA87:AB87"/>
    <mergeCell ref="C88:F88"/>
    <mergeCell ref="Y88:Z88"/>
    <mergeCell ref="AA88:AB88"/>
    <mergeCell ref="B89:L89"/>
    <mergeCell ref="N89:O89"/>
    <mergeCell ref="B90:O90"/>
    <mergeCell ref="D91:F91"/>
    <mergeCell ref="G91:H91"/>
    <mergeCell ref="V91:W91"/>
    <mergeCell ref="X91:Y91"/>
    <mergeCell ref="D92:F92"/>
    <mergeCell ref="G92:H92"/>
    <mergeCell ref="V92:W92"/>
    <mergeCell ref="X92:Y92"/>
    <mergeCell ref="D93:F93"/>
    <mergeCell ref="G93:H93"/>
    <mergeCell ref="V93:W93"/>
    <mergeCell ref="X93:Y93"/>
    <mergeCell ref="B94:L94"/>
    <mergeCell ref="N94:O94"/>
    <mergeCell ref="B95:O95"/>
    <mergeCell ref="C96:E96"/>
    <mergeCell ref="F96:G96"/>
    <mergeCell ref="C97:E97"/>
    <mergeCell ref="F97:G97"/>
    <mergeCell ref="C98:E98"/>
    <mergeCell ref="F98:G98"/>
    <mergeCell ref="B99:L99"/>
    <mergeCell ref="N99:O99"/>
    <mergeCell ref="B100:O100"/>
    <mergeCell ref="C101:D101"/>
    <mergeCell ref="F101:G101"/>
    <mergeCell ref="R101:S101"/>
    <mergeCell ref="C102:D102"/>
    <mergeCell ref="F102:G102"/>
    <mergeCell ref="R102:S102"/>
    <mergeCell ref="C103:D103"/>
    <mergeCell ref="F103:G103"/>
    <mergeCell ref="R103:S103"/>
    <mergeCell ref="B104:L104"/>
    <mergeCell ref="N104:O104"/>
    <mergeCell ref="C105:D105"/>
    <mergeCell ref="E105:F105"/>
    <mergeCell ref="G105:H105"/>
    <mergeCell ref="I105:J105"/>
    <mergeCell ref="K105:M105"/>
    <mergeCell ref="C106:D106"/>
    <mergeCell ref="E106:F106"/>
    <mergeCell ref="G106:H106"/>
    <mergeCell ref="I106:J106"/>
    <mergeCell ref="K106:M106"/>
    <mergeCell ref="C107:D107"/>
    <mergeCell ref="E107:F107"/>
    <mergeCell ref="G107:H107"/>
    <mergeCell ref="I107:J107"/>
    <mergeCell ref="K107:M107"/>
    <mergeCell ref="B108:O108"/>
    <mergeCell ref="C109:D109"/>
    <mergeCell ref="F109:G109"/>
    <mergeCell ref="R109:S109"/>
    <mergeCell ref="C110:D110"/>
    <mergeCell ref="F110:G110"/>
    <mergeCell ref="R110:S110"/>
    <mergeCell ref="B111:L111"/>
    <mergeCell ref="N111:O111"/>
    <mergeCell ref="B112:O112"/>
    <mergeCell ref="D113:F113"/>
    <mergeCell ref="G113:H113"/>
    <mergeCell ref="D114:F114"/>
    <mergeCell ref="G114:H114"/>
    <mergeCell ref="D115:F115"/>
    <mergeCell ref="G115:H115"/>
    <mergeCell ref="D116:F116"/>
    <mergeCell ref="G116:H116"/>
    <mergeCell ref="B117:L117"/>
    <mergeCell ref="N117:O117"/>
    <mergeCell ref="B118:O118"/>
    <mergeCell ref="C119:D119"/>
    <mergeCell ref="F119:G119"/>
    <mergeCell ref="S119:T119"/>
    <mergeCell ref="C120:D120"/>
    <mergeCell ref="F120:G120"/>
    <mergeCell ref="S120:T120"/>
    <mergeCell ref="C121:D121"/>
    <mergeCell ref="F121:G121"/>
    <mergeCell ref="S121:T121"/>
    <mergeCell ref="C122:D122"/>
    <mergeCell ref="F122:G122"/>
    <mergeCell ref="S122:T122"/>
    <mergeCell ref="B123:L123"/>
    <mergeCell ref="N123:O123"/>
    <mergeCell ref="B124:O124"/>
    <mergeCell ref="C125:D125"/>
    <mergeCell ref="E125:F125"/>
    <mergeCell ref="G125:H125"/>
    <mergeCell ref="C126:D126"/>
    <mergeCell ref="E126:F126"/>
    <mergeCell ref="G126:H126"/>
    <mergeCell ref="C127:D127"/>
    <mergeCell ref="E127:F127"/>
    <mergeCell ref="G127:H127"/>
    <mergeCell ref="C128:D128"/>
    <mergeCell ref="E128:F128"/>
    <mergeCell ref="G128:H128"/>
    <mergeCell ref="B129:L129"/>
    <mergeCell ref="N129:O129"/>
    <mergeCell ref="B130:O130"/>
    <mergeCell ref="C131:F131"/>
    <mergeCell ref="G131:H131"/>
    <mergeCell ref="C132:F132"/>
    <mergeCell ref="G132:H132"/>
    <mergeCell ref="C133:F133"/>
    <mergeCell ref="G133:H133"/>
    <mergeCell ref="C134:F134"/>
    <mergeCell ref="G134:H134"/>
    <mergeCell ref="B135:L135"/>
    <mergeCell ref="N135:O135"/>
    <mergeCell ref="B136:O136"/>
    <mergeCell ref="D137:F137"/>
    <mergeCell ref="D138:F138"/>
    <mergeCell ref="D139:F139"/>
    <mergeCell ref="D140:F140"/>
    <mergeCell ref="D141:F141"/>
    <mergeCell ref="B142:L142"/>
    <mergeCell ref="N142:O142"/>
    <mergeCell ref="B143:O143"/>
    <mergeCell ref="C144:D144"/>
    <mergeCell ref="F144:G144"/>
    <mergeCell ref="R144:S144"/>
    <mergeCell ref="T144:U144"/>
    <mergeCell ref="C145:D145"/>
    <mergeCell ref="F145:G145"/>
    <mergeCell ref="R145:S145"/>
    <mergeCell ref="T145:U145"/>
    <mergeCell ref="C146:D146"/>
    <mergeCell ref="F146:G146"/>
    <mergeCell ref="R146:S146"/>
    <mergeCell ref="T146:U146"/>
    <mergeCell ref="C147:D147"/>
    <mergeCell ref="F147:G147"/>
    <mergeCell ref="R147:S147"/>
    <mergeCell ref="T147:U147"/>
    <mergeCell ref="B148:L148"/>
    <mergeCell ref="N148:O148"/>
    <mergeCell ref="B149:O149"/>
    <mergeCell ref="C150:D150"/>
    <mergeCell ref="F150:H150"/>
    <mergeCell ref="I150:K150"/>
    <mergeCell ref="C151:D151"/>
    <mergeCell ref="F151:H151"/>
    <mergeCell ref="I151:K151"/>
    <mergeCell ref="C152:D152"/>
    <mergeCell ref="F152:H152"/>
    <mergeCell ref="I152:K152"/>
    <mergeCell ref="B153:L153"/>
    <mergeCell ref="N153:O153"/>
    <mergeCell ref="B154:O154"/>
    <mergeCell ref="C155:D155"/>
    <mergeCell ref="F155:G155"/>
    <mergeCell ref="C156:D156"/>
    <mergeCell ref="F156:G156"/>
    <mergeCell ref="C157:D157"/>
    <mergeCell ref="F157:G157"/>
    <mergeCell ref="C158:D158"/>
    <mergeCell ref="F158:G158"/>
    <mergeCell ref="B159:L159"/>
    <mergeCell ref="N159:O159"/>
    <mergeCell ref="B161:O161"/>
    <mergeCell ref="C162:E162"/>
    <mergeCell ref="F162:G162"/>
    <mergeCell ref="H162:J162"/>
    <mergeCell ref="K162:M162"/>
    <mergeCell ref="N162:O162"/>
    <mergeCell ref="C163:E163"/>
    <mergeCell ref="F163:G163"/>
    <mergeCell ref="H163:J163"/>
    <mergeCell ref="K163:M163"/>
    <mergeCell ref="N163:O163"/>
    <mergeCell ref="C164:D164"/>
    <mergeCell ref="F164:G164"/>
    <mergeCell ref="H164:I164"/>
    <mergeCell ref="J164:K164"/>
    <mergeCell ref="L164:M164"/>
    <mergeCell ref="N164:O164"/>
    <mergeCell ref="C165:D165"/>
    <mergeCell ref="F165:G165"/>
    <mergeCell ref="H165:I165"/>
    <mergeCell ref="J165:K165"/>
    <mergeCell ref="L165:M165"/>
    <mergeCell ref="N165:O165"/>
    <mergeCell ref="C166:D166"/>
    <mergeCell ref="F166:G166"/>
    <mergeCell ref="H166:K166"/>
    <mergeCell ref="L166:M166"/>
    <mergeCell ref="N166:O166"/>
    <mergeCell ref="C167:D167"/>
    <mergeCell ref="F167:G167"/>
    <mergeCell ref="H167:K167"/>
    <mergeCell ref="L167:M167"/>
    <mergeCell ref="N167:O167"/>
    <mergeCell ref="C168:D168"/>
    <mergeCell ref="F168:G168"/>
    <mergeCell ref="H168:I168"/>
    <mergeCell ref="J168:K168"/>
    <mergeCell ref="L168:M168"/>
    <mergeCell ref="N168:O168"/>
    <mergeCell ref="C169:D169"/>
    <mergeCell ref="F169:G169"/>
    <mergeCell ref="H169:I169"/>
    <mergeCell ref="J169:K169"/>
    <mergeCell ref="L169:M169"/>
    <mergeCell ref="N169:O169"/>
    <mergeCell ref="C170:D170"/>
    <mergeCell ref="F170:G170"/>
    <mergeCell ref="H170:J170"/>
    <mergeCell ref="K170:M170"/>
    <mergeCell ref="N170:O170"/>
    <mergeCell ref="C171:D171"/>
    <mergeCell ref="F171:G171"/>
    <mergeCell ref="H171:J171"/>
    <mergeCell ref="K171:M171"/>
    <mergeCell ref="N171:O171"/>
    <mergeCell ref="C172:D172"/>
    <mergeCell ref="E172:F172"/>
    <mergeCell ref="H172:I172"/>
    <mergeCell ref="K172:M172"/>
    <mergeCell ref="N172:O172"/>
    <mergeCell ref="C173:D173"/>
    <mergeCell ref="E173:F173"/>
    <mergeCell ref="H173:I173"/>
    <mergeCell ref="K173:M173"/>
    <mergeCell ref="N173:O173"/>
    <mergeCell ref="C174:D174"/>
    <mergeCell ref="E174:G174"/>
    <mergeCell ref="H174:J174"/>
    <mergeCell ref="K174:M174"/>
    <mergeCell ref="N174:O174"/>
    <mergeCell ref="C175:D175"/>
    <mergeCell ref="E175:G175"/>
    <mergeCell ref="H175:J175"/>
    <mergeCell ref="K175:M175"/>
    <mergeCell ref="N175:O175"/>
    <mergeCell ref="C176:D176"/>
    <mergeCell ref="E176:F176"/>
    <mergeCell ref="G176:H176"/>
    <mergeCell ref="I176:J176"/>
    <mergeCell ref="K176:M176"/>
    <mergeCell ref="N176:O176"/>
    <mergeCell ref="S176:T176"/>
    <mergeCell ref="C177:D177"/>
    <mergeCell ref="E177:F177"/>
    <mergeCell ref="G177:H177"/>
    <mergeCell ref="I177:J177"/>
    <mergeCell ref="K177:M177"/>
    <mergeCell ref="N177:O177"/>
    <mergeCell ref="S177:T177"/>
    <mergeCell ref="B178:E178"/>
    <mergeCell ref="F178:G178"/>
    <mergeCell ref="H178:J178"/>
    <mergeCell ref="K178:O178"/>
    <mergeCell ref="C179:O179"/>
    <mergeCell ref="C180:O180"/>
    <mergeCell ref="C181:O181"/>
    <mergeCell ref="B31:B33"/>
    <mergeCell ref="B34:B35"/>
    <mergeCell ref="B36:B39"/>
    <mergeCell ref="B40:B41"/>
    <mergeCell ref="B42:B43"/>
    <mergeCell ref="B44:B45"/>
    <mergeCell ref="B46:B58"/>
    <mergeCell ref="B59:B67"/>
    <mergeCell ref="B105:B107"/>
    <mergeCell ref="B162:B163"/>
    <mergeCell ref="B164:B167"/>
    <mergeCell ref="B168:B175"/>
    <mergeCell ref="B176:B177"/>
  </mergeCells>
  <dataValidations count="49">
    <dataValidation allowBlank="1" showErrorMessage="1" sqref="B6:K6 L6 M6 N6 B7:K7 L7 M7 N7 B8:K8 L8 M8 N8 B9:G9 H9:J9 K9 L9 M9 B10:K10 L10 M10 L11:L13 M11:M13 N9:N10 N11:N13 B11:K13"/>
    <dataValidation allowBlank="1" showErrorMessage="1" prompt="请在下拉列表中选择填写内容！" sqref="G14:I14 G16 H16 I16 C34:D34 E34 F34 H34 J34 N35:O35 C36:D36 E36 F36:G36 H36 J36 N37:O37 N38:O38 N39:O39 C40:D40 E40 F40 H40 J40 N41:O41 C42:D42 E42 F42 H42 J42 N43:O43 C44:D44 E44 F44 H44 I44 N45:O45 C46:D46 E46 F46:G46 H46 J46 N47:O47 N48:O48 N49:O49 N53:O53 N57:O57 N58:O58 C59:D59 E59 F59:G59 H59 I59 N60:O60 N61:O61 N62:O62 N66:O66 N67:O67 C76:H76 C81:H81 C89:H89 C94:H94 C99:H99 C104:H104 D105 C111:H111 C117:H117 C123:H123 C129:H129 C135:H135 C142:H142 C148:H148 C153:H153 C159:H159 K162 L162 D163 J164 L165 H166 J166 N166 H167 L167 N167 I168 K168 I169 E170 H170 J170 H171 J172 H174 J174 H176 K176 L176 M176 N176 H177 K177 L177 M177 N177 D178 E178 K178 L178 D106:D107 E164:E166 E168:E169 E172:E174 H17:H19 I17:I19 I162:I163 I164:I165 I172:I173 K164:K167 K169:K171 K172:K175 L168:L171 L172:L175 M162:M163 M164:M165 M168:M171 M172:M175 N162:N163 N169:N171 N173:N175 C32:G33 N54:O56 N63:O65 N50:O52"/>
    <dataValidation allowBlank="1" showErrorMessage="1" prompt="请不要在姓名中间添加空格！" sqref="G15:I15"/>
    <dataValidation type="list" allowBlank="1" showInputMessage="1" showErrorMessage="1" sqref="G17">
      <formula1>"专业技术四级,专业技术六级,专业技术七级,专业技术九级,专业技术十级,专业技术十二级"</formula1>
    </dataValidation>
    <dataValidation type="list" allowBlank="1" showErrorMessage="1" prompt="请在下拉列表中选择填写内容！" sqref="G18">
      <formula1>"专业教师组,基础教师组,学生思想政治教育教师组,非教师专业技术组"</formula1>
    </dataValidation>
    <dataValidation type="list" allowBlank="1" showErrorMessage="1" prompt="请在下拉列表中选择填写内容！" sqref="G19">
      <formula1>"专业技术三级,专业技术五级,专业技术六级,专业技术八级,专业技术九级,专业技术十一级"</formula1>
    </dataValidation>
    <dataValidation type="list" allowBlank="1" showErrorMessage="1" prompt="请在下拉列表中选择填写内容！" sqref="F24 F25 F68 F160">
      <formula1>"男,女"</formula1>
    </dataValidation>
    <dataValidation allowBlank="1" showErrorMessage="1" prompt="请规范填写时间！格式为“1999年10月”" sqref="H24:J24 I25 L25 H26:I26 H27:I27 I28:J28 I29:J29 I30:J30 B31 J31 H68:J68 B76 K76 L76 B81 K81 L81 B89 K89 L89 B94 K94 L94 B99 K99 L99 B104 J104 K104 L104 B111 J111 K111 L111 B117 J117 K117 L117 B123 K123 L123 B129 K129 L129 B135 K135 L135 B142 J142 K142 L142 B148 J148 K148 L148 B153 K153 L153 B159 J159 K159 L159 H160:J160 I79:I80"/>
    <dataValidation type="list" allowBlank="1" showInputMessage="1" showErrorMessage="1" sqref="D26:E26">
      <formula1>"博士,硕士,学士,无学位（本科毕业）,其他"</formula1>
    </dataValidation>
    <dataValidation type="list" allowBlank="1" showInputMessage="1" showErrorMessage="1" sqref="K29:O29">
      <formula1>"专任教师,二级教学单位负责人,“双肩挑”人员,非教学单位人员"</formula1>
    </dataValidation>
    <dataValidation type="whole" operator="between" allowBlank="1" showErrorMessage="1" prompt="请在下拉列表中选择填写内容！" sqref="O33">
      <formula1>0</formula1>
      <formula2>10-J33</formula2>
    </dataValidation>
    <dataValidation type="list" allowBlank="1" showErrorMessage="1" prompt="请在下拉列表中选择填写内容！" sqref="C35:M35">
      <formula1>"A档,B档,C档,D档"</formula1>
    </dataValidation>
    <dataValidation type="list" allowBlank="1" showErrorMessage="1" prompt="请在下拉列表中选择填写内容！" sqref="B72 B75 B73:B74">
      <formula1>其他参数!$A$2:$A$9</formula1>
    </dataValidation>
    <dataValidation allowBlank="1" showErrorMessage="1" prompt="如被SCI、EI、SSCI、CSSCI等收录，请注明，并请注明几区及影响因子，著作还应注明撰写部分及字数" sqref="F72 F75 F79 F80 F73:F74"/>
    <dataValidation type="list" allowBlank="1" showErrorMessage="1" prompt="请规范填写时间！格式为“1999年10月”" sqref="H72 H75 H73:H74">
      <formula1>"是,否"</formula1>
    </dataValidation>
    <dataValidation type="list" allowBlank="1" showErrorMessage="1" prompt="请规范填写！格式为：“专著”“主编”“n/m”等" sqref="I72 I75 H84 H87 H88 H97 H98 I110 I147 I156 H85:H86 I73:I74 I92:I93 I102:I103 I120:I122 I126:I128 I132:I134 I138:I141 I145:I146 I157:I158 J114:J116">
      <formula1>"独立完成,合作完成"</formula1>
    </dataValidation>
    <dataValidation type="whole" operator="between" allowBlank="1" showInputMessage="1" showErrorMessage="1" error="必须输入数字！" sqref="J72 J75 I84 I87 I88 I97 I98 I85:I86 J73:J74 J92:J93 J132:J134" errorStyle="warning">
      <formula1>2</formula1>
      <formula2>100</formula2>
    </dataValidation>
    <dataValidation type="whole" operator="between" allowBlank="1" showErrorMessage="1" error="请正确填写！！" prompt="请规范填写时间！格式为“1999年10月”" sqref="K72 K75 J84 J87 J88 J97 J98 K110 K147 K156 J85:J86 K73:K74 K92:K93 K102:K103 K132:K134 K138:K141 K145:K146 K157:K158 L72:L75 L114:L116 L132:L134">
      <formula1>1</formula1>
      <formula2>I72</formula2>
    </dataValidation>
    <dataValidation allowBlank="1" showErrorMessage="1" prompt="请规范填写！格式为：“专著”“主编”“n/m”等" sqref="N74 N75 J76 M76 N76 J81 M81 N81 K84 L84:M84 N84 K87 L87:M87 N87 K88 L88:M88 N88 J89 M89 N89 J94 M94 N94 K97 L97:M97 N97 K98 L98:M98 N98 J99 M99 N99 M104 N104 F110 G110 H110 M111 N111 M117 N117 J123 M123 N123 J129 M129 N129 N132 N133 N134 J135 M135 N135 M142 N142 F147 G147 H147 M148 N148 J153 M153 N153 F156 G156 H156 M159 N159 F145:F146 F157:F158 G114:G116 G132:G134 G138:G141 G145:G146 G157:G158 H114:H116 H138:H141 H145:H146 H157:H158 I114:I116 J79:J80 K85:K86 L85:L86 M72:M75 M85:M86 M132:M134 N72:N73 N79:N80 N85:N86 F102:H103 L79:M80"/>
    <dataValidation type="list" allowBlank="1" showInputMessage="1" showErrorMessage="1" sqref="B84 B87 B88 B85:B86">
      <formula1>其他参数!$C$2:$C$5</formula1>
    </dataValidation>
    <dataValidation allowBlank="1" showErrorMessage="1" prompt="如“类别”栏选择“课程”，请填写精品课程名称！如“《现代教育技术》国家级精品课程”" sqref="C84 C87 C88 C97 C98 C85:C86 D92:D93"/>
    <dataValidation allowBlank="1" showErrorMessage="1" prompt="请规范填写！格式为：“主持人”“主编”“n/m”等" sqref="G84 G87 G88 G92 G93 F97 F98 F151 F152 C132:C134 F120:F122 F126:F128 G85:G86"/>
    <dataValidation type="list" allowBlank="1" showInputMessage="1" showErrorMessage="1" sqref="B97 B98">
      <formula1>"横向技术项目"</formula1>
    </dataValidation>
    <dataValidation type="list" allowBlank="1" showErrorMessage="1" prompt="请规范填写时间！格式为“1999年10月”" sqref="C102 C103 C156:D156 C157:D158">
      <formula1>INDIRECT(B102)</formula1>
    </dataValidation>
    <dataValidation type="list" allowBlank="1" showInputMessage="1" showErrorMessage="1" sqref="D102 D103 E110 E147 E156 E102:E103 E145:E146 E157:E158 C120:D122 C126:D128">
      <formula1>"国家级,省级,市级,校级"</formula1>
    </dataValidation>
    <dataValidation type="list" allowBlank="1" showInputMessage="1" showErrorMessage="1" sqref="B110">
      <formula1>"师资培养成绩"</formula1>
    </dataValidation>
    <dataValidation type="list" allowBlank="1" showErrorMessage="1" prompt="请规范填写时间！格式为“1999年10月”" sqref="C110:D110">
      <formula1>"培养对象获得成果"</formula1>
    </dataValidation>
    <dataValidation allowBlank="1" showErrorMessage="1" error="请正确填写！！" prompt="请规范填写时间！格式为“1999年10月”" sqref="J110 J147 J156 J102:J103 J138:J141 J145:J146 J157:J158 K114:K116"/>
    <dataValidation allowBlank="1" showErrorMessage="1" prompt="如：“陕西省人民政府”,“陕西省教育厅”,“教育部”等。" sqref="M110 N110 N120 N121 N122 N126 N127 N128 N147 M156 N156 N157 N158 M92:M93 M102:M103 M114:M116 M120:M122 M126:M128 M138:M141 M145:M147 M151:M152 M157:M158 N92:N93 N102:N103 N114:N116 N138:N139 N140:N141 N145:N146 N151:N152"/>
    <dataValidation type="list" allowBlank="1" showInputMessage="1" showErrorMessage="1" sqref="E120 E121:E122">
      <formula1>INDIRECT(B120)</formula1>
    </dataValidation>
    <dataValidation type="list" allowBlank="1" showInputMessage="1" showErrorMessage="1" sqref="B156">
      <formula1>数据引用表!$C$2:$C$5</formula1>
    </dataValidation>
    <dataValidation type="list" allowBlank="1" showErrorMessage="1" prompt="请在下拉列表中选择填写内容！" sqref="B79:B80">
      <formula1>其他参数!$B$2:$B$10</formula1>
    </dataValidation>
    <dataValidation type="list" allowBlank="1" showInputMessage="1" showErrorMessage="1" sqref="B92:B93">
      <formula1>其他参数!$E$2:$E$11</formula1>
    </dataValidation>
    <dataValidation type="list" allowBlank="1" showInputMessage="1" showErrorMessage="1" sqref="B102:B103">
      <formula1>"团队建设"</formula1>
    </dataValidation>
    <dataValidation type="list" allowBlank="1" showErrorMessage="1" prompt="请规范填写时间！格式为“1999年10月”" sqref="B114:B116">
      <formula1>其他参数!$F$2:$F$6</formula1>
    </dataValidation>
    <dataValidation type="list" allowBlank="1" showInputMessage="1" showErrorMessage="1" sqref="B120:B122">
      <formula1>"项目设计能力"</formula1>
    </dataValidation>
    <dataValidation type="list" allowBlank="1" showInputMessage="1" showErrorMessage="1" sqref="B126:B128">
      <formula1>"专项技术分析报告,可行性研究报告"</formula1>
    </dataValidation>
    <dataValidation type="list" allowBlank="1" showInputMessage="1" showErrorMessage="1" sqref="B132:B134">
      <formula1>其他参数!$D$2:$D$5</formula1>
    </dataValidation>
    <dataValidation type="list" allowBlank="1" showErrorMessage="1" prompt="请规范填写时间！格式为“1999年10月”" sqref="B138:B141">
      <formula1>其他参数!$G$2:$G$7</formula1>
    </dataValidation>
    <dataValidation type="list" allowBlank="1" showInputMessage="1" showErrorMessage="1" sqref="B145:B147">
      <formula1>"课程建设"</formula1>
    </dataValidation>
    <dataValidation type="list" allowBlank="1" showInputMessage="1" showErrorMessage="1" sqref="B151:B152">
      <formula1>"专业技术职称证书,职业技能证书"</formula1>
    </dataValidation>
    <dataValidation type="list" allowBlank="1" showInputMessage="1" showErrorMessage="1" sqref="B157:B158">
      <formula1>数据引用表!$C$2:$C$8</formula1>
    </dataValidation>
    <dataValidation type="list" allowBlank="1" showInputMessage="1" showErrorMessage="1" sqref="C92:C93">
      <formula1>"一等奖,二等奖,三等奖,无等级"</formula1>
    </dataValidation>
    <dataValidation type="list" allowBlank="1" showInputMessage="1" showErrorMessage="1" sqref="C114:C116 C138:C141">
      <formula1>"一等奖,金奖,二等奖,银奖,三等奖,铜奖,无等级"</formula1>
    </dataValidation>
    <dataValidation type="list" allowBlank="1" showInputMessage="1" showErrorMessage="1" sqref="H79:H80">
      <formula1>"是,否"</formula1>
    </dataValidation>
    <dataValidation type="list" allowBlank="1" showErrorMessage="1" prompt="请规范填写！格式为：“专著”“主编”“n/m”等" sqref="K79:K80">
      <formula1>"独著,第一主编,第二主编,参编"</formula1>
    </dataValidation>
    <dataValidation type="list" allowBlank="1" showInputMessage="1" showErrorMessage="1" sqref="C47:D48 C49:D58">
      <formula1>"国培项目,境外线上线下培训,一般培训进修"</formula1>
    </dataValidation>
    <dataValidation type="list" allowBlank="1" showInputMessage="1" showErrorMessage="1" sqref="C151:D152">
      <formula1>"高级,中级,初级,无等级"</formula1>
    </dataValidation>
    <dataValidation type="list" allowBlank="1" showErrorMessage="1" prompt="请规范填写时间！格式为“1999年10月”" sqref="C145:D147">
      <formula1>"主干课建设,精品课建设"</formula1>
    </dataValidation>
  </dataValidations>
  <printOptions horizontalCentered="1" verticalCentered="1"/>
  <pageMargins left="0.4875" right="0.196527777777778" top="0.472222222222222" bottom="0.66875" header="0.590277777777778" footer="0.236111111111111"/>
  <pageSetup paperSize="9" firstPageNumber="0" orientation="landscape" blackAndWhite="1" useFirstPageNumber="1" horizontalDpi="600"/>
  <headerFooter alignWithMargins="0" scaleWithDoc="0" differentFirst="1">
    <oddFooter>&amp;C第 &amp;P 页</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87"/>
  <sheetViews>
    <sheetView workbookViewId="0">
      <selection activeCell="H14" sqref="H14"/>
    </sheetView>
  </sheetViews>
  <sheetFormatPr defaultColWidth="9" defaultRowHeight="12"/>
  <cols>
    <col min="1" max="1" width="5.25" style="12" customWidth="1"/>
    <col min="2" max="2" width="16" style="12" customWidth="1"/>
    <col min="3" max="3" width="8.375" style="12" customWidth="1"/>
    <col min="4" max="4" width="5.75" style="12" customWidth="1"/>
    <col min="5" max="5" width="12" style="12" customWidth="1"/>
    <col min="6" max="6" width="7.875" style="12" customWidth="1"/>
    <col min="7" max="8" width="14.5" style="12" customWidth="1"/>
    <col min="9" max="9" width="11.375" style="12" customWidth="1"/>
    <col min="10" max="10" width="11" style="12" customWidth="1"/>
    <col min="11" max="11" width="20" style="12" customWidth="1"/>
    <col min="12" max="12" width="17.5" style="12" customWidth="1"/>
    <col min="13" max="13" width="17.375" style="12" customWidth="1"/>
    <col min="14" max="14" width="19.625" style="12" customWidth="1"/>
    <col min="15" max="15" width="15.25" style="12" customWidth="1"/>
    <col min="16" max="16384" width="9" style="12"/>
  </cols>
  <sheetData>
    <row r="1" s="9" customFormat="1" ht="34.5" customHeight="1" spans="1:15">
      <c r="A1" s="13" t="s">
        <v>292</v>
      </c>
      <c r="B1" s="13"/>
      <c r="C1" s="13"/>
      <c r="D1" s="13"/>
      <c r="E1" s="13"/>
      <c r="F1" s="13"/>
      <c r="G1" s="13"/>
      <c r="H1" s="13"/>
      <c r="I1" s="13"/>
      <c r="J1" s="13"/>
      <c r="K1" s="13"/>
      <c r="L1" s="13"/>
      <c r="M1" s="13"/>
      <c r="N1" s="21"/>
      <c r="O1" s="21"/>
    </row>
    <row r="2" s="10" customFormat="1" ht="18" customHeight="1" spans="1:15">
      <c r="A2" s="14" t="s">
        <v>293</v>
      </c>
      <c r="B2" s="15" t="s">
        <v>30</v>
      </c>
      <c r="C2" s="14" t="s">
        <v>294</v>
      </c>
      <c r="D2" s="14" t="s">
        <v>295</v>
      </c>
      <c r="E2" s="15" t="s">
        <v>21</v>
      </c>
      <c r="F2" s="15" t="s">
        <v>22</v>
      </c>
      <c r="G2" s="15" t="s">
        <v>23</v>
      </c>
      <c r="H2" s="15" t="s">
        <v>33</v>
      </c>
      <c r="I2" s="22" t="s">
        <v>34</v>
      </c>
      <c r="J2" s="14" t="s">
        <v>296</v>
      </c>
      <c r="K2" s="14"/>
      <c r="L2" s="14"/>
      <c r="M2" s="14" t="s">
        <v>297</v>
      </c>
      <c r="N2" s="23" t="s">
        <v>298</v>
      </c>
      <c r="O2" s="14"/>
    </row>
    <row r="3" s="10" customFormat="1" ht="21" customHeight="1" spans="1:15">
      <c r="A3" s="14"/>
      <c r="B3" s="16"/>
      <c r="C3" s="14"/>
      <c r="D3" s="14"/>
      <c r="E3" s="16"/>
      <c r="F3" s="16"/>
      <c r="G3" s="16"/>
      <c r="H3" s="16"/>
      <c r="I3" s="24"/>
      <c r="J3" s="14" t="s">
        <v>124</v>
      </c>
      <c r="K3" s="14" t="s">
        <v>32</v>
      </c>
      <c r="L3" s="14" t="s">
        <v>27</v>
      </c>
      <c r="M3" s="14"/>
      <c r="N3" s="23" t="s">
        <v>284</v>
      </c>
      <c r="O3" s="14" t="s">
        <v>299</v>
      </c>
    </row>
    <row r="4" s="11" customFormat="1" ht="30" customHeight="1" spans="1:15">
      <c r="A4" s="17">
        <v>1</v>
      </c>
      <c r="B4" s="17">
        <f>量化赋分表!H14</f>
        <v>0</v>
      </c>
      <c r="C4" s="17">
        <f>量化赋分表!H15</f>
        <v>0</v>
      </c>
      <c r="D4" s="17">
        <f>量化赋分表!F25</f>
        <v>0</v>
      </c>
      <c r="E4" s="18">
        <f>量化赋分表!J25</f>
        <v>0</v>
      </c>
      <c r="F4" s="19" t="str">
        <f ca="1">量化赋分表!N25</f>
        <v/>
      </c>
      <c r="G4" s="17">
        <f>量化赋分表!D26</f>
        <v>0</v>
      </c>
      <c r="H4" s="17">
        <f>量化赋分表!D29</f>
        <v>0</v>
      </c>
      <c r="I4" s="17">
        <f>量化赋分表!K29</f>
        <v>0</v>
      </c>
      <c r="J4" s="17">
        <f>量化赋分表!H16</f>
        <v>0</v>
      </c>
      <c r="K4" s="18">
        <f>量化赋分表!I28</f>
        <v>0</v>
      </c>
      <c r="L4" s="19" t="str">
        <f ca="1">量化赋分表!N28</f>
        <v/>
      </c>
      <c r="M4" s="17" t="str">
        <f>量化赋分表!H19</f>
        <v>副教授</v>
      </c>
      <c r="N4" s="17" t="str">
        <f ca="1">量化赋分表!F178</f>
        <v>否</v>
      </c>
      <c r="O4" s="25">
        <f>量化赋分表!E177</f>
        <v>0</v>
      </c>
    </row>
    <row r="5" s="9" customFormat="1" ht="11.25" spans="1:15">
      <c r="A5" s="20"/>
      <c r="B5" s="20"/>
      <c r="C5" s="20"/>
      <c r="D5" s="20"/>
      <c r="E5" s="20"/>
      <c r="F5" s="20"/>
      <c r="G5" s="20"/>
      <c r="H5" s="20"/>
      <c r="I5" s="20"/>
      <c r="J5" s="20"/>
      <c r="K5" s="20"/>
      <c r="L5" s="20"/>
      <c r="M5" s="20"/>
      <c r="N5" s="20"/>
      <c r="O5" s="20"/>
    </row>
    <row r="6" s="9" customFormat="1" ht="11.25"/>
    <row r="7" s="9" customFormat="1" ht="11.25"/>
    <row r="8" s="9" customFormat="1" ht="11.25"/>
    <row r="9" s="9" customFormat="1" ht="11.25"/>
    <row r="10" s="9" customFormat="1" ht="11.25"/>
    <row r="11" s="9" customFormat="1" ht="11.25"/>
    <row r="12" s="9" customFormat="1" ht="11.25"/>
    <row r="13" s="9" customFormat="1" ht="11.25"/>
    <row r="14" s="9" customFormat="1" ht="11.25"/>
    <row r="15" s="9" customFormat="1" ht="11.25"/>
    <row r="16" s="9" customFormat="1" ht="11.25"/>
    <row r="17" s="9" customFormat="1" ht="11.25"/>
    <row r="18" s="9" customFormat="1" ht="11.25"/>
    <row r="19" s="9" customFormat="1" ht="11.25"/>
    <row r="20" s="9" customFormat="1" ht="11.25"/>
    <row r="21" s="9" customFormat="1" ht="11.25"/>
    <row r="22" s="9" customFormat="1" ht="11.25"/>
    <row r="23" s="9" customFormat="1" ht="11.25"/>
    <row r="24" s="9" customFormat="1" ht="11.25"/>
    <row r="25" s="9" customFormat="1" ht="11.25"/>
    <row r="26" s="9" customFormat="1" ht="11.25"/>
    <row r="27" s="9" customFormat="1" ht="11.25"/>
    <row r="28" s="9" customFormat="1" ht="11.25"/>
    <row r="29" s="9" customFormat="1" ht="11.25"/>
    <row r="30" s="9" customFormat="1" ht="11.25"/>
    <row r="31" s="9" customFormat="1" ht="11.25"/>
    <row r="32" s="9" customFormat="1" ht="11.25"/>
    <row r="33" s="9" customFormat="1" ht="11.25"/>
    <row r="34" s="9" customFormat="1" ht="11.25"/>
    <row r="35" s="9" customFormat="1" ht="11.25"/>
    <row r="36" s="9" customFormat="1" ht="11.25"/>
    <row r="37" s="9" customFormat="1" ht="11.25"/>
    <row r="38" s="9" customFormat="1" ht="11.25"/>
    <row r="39" s="9" customFormat="1" ht="11.25"/>
    <row r="40" s="9" customFormat="1" ht="11.25"/>
    <row r="41" s="9" customFormat="1" ht="11.25"/>
    <row r="42" s="9" customFormat="1" ht="11.25"/>
    <row r="43" s="9" customFormat="1" ht="11.25"/>
    <row r="44" s="9" customFormat="1" ht="11.25"/>
    <row r="45" s="9" customFormat="1" ht="11.25"/>
    <row r="46" s="9" customFormat="1" ht="11.25"/>
    <row r="47" s="9" customFormat="1" ht="11.25"/>
    <row r="48" s="9" customFormat="1" ht="11.25"/>
    <row r="49" s="9" customFormat="1" ht="11.25"/>
    <row r="50" s="9" customFormat="1" ht="11.25"/>
    <row r="51" s="9" customFormat="1" ht="11.25"/>
    <row r="52" s="9" customFormat="1" ht="11.25"/>
    <row r="53" s="9" customFormat="1" ht="11.25"/>
    <row r="54" s="9" customFormat="1" ht="11.25"/>
    <row r="55" s="9" customFormat="1" ht="11.25"/>
    <row r="56" s="9" customFormat="1" ht="11.25"/>
    <row r="57" s="9" customFormat="1" ht="11.25"/>
    <row r="58" s="9" customFormat="1" ht="11.25"/>
    <row r="59" s="9" customFormat="1" ht="11.25"/>
    <row r="60" s="9" customFormat="1" ht="11.25"/>
    <row r="61" s="9" customFormat="1" ht="11.25"/>
    <row r="62" s="9" customFormat="1" ht="11.25"/>
    <row r="63" s="9" customFormat="1" ht="11.25"/>
    <row r="64" s="9" customFormat="1" ht="11.25"/>
    <row r="65" s="9" customFormat="1" ht="11.25"/>
    <row r="66" s="9" customFormat="1" ht="11.25"/>
    <row r="67" s="9" customFormat="1" ht="11.25"/>
    <row r="68" s="9" customFormat="1" ht="11.25"/>
    <row r="69" s="9" customFormat="1" ht="11.25"/>
    <row r="70" s="9" customFormat="1" ht="11.25"/>
    <row r="71" s="9" customFormat="1" ht="11.25"/>
    <row r="72" s="9" customFormat="1" ht="11.25"/>
    <row r="73" s="9" customFormat="1" ht="11.25"/>
    <row r="74" s="9" customFormat="1" ht="11.25"/>
    <row r="75" s="9" customFormat="1" ht="11.25"/>
    <row r="76" s="9" customFormat="1" ht="11.25"/>
    <row r="77" s="9" customFormat="1" ht="11.25"/>
    <row r="78" s="9" customFormat="1" ht="11.25"/>
    <row r="79" s="9" customFormat="1" ht="11.25"/>
    <row r="80" s="9" customFormat="1" ht="11.25"/>
    <row r="81" s="9" customFormat="1" ht="11.25"/>
    <row r="82" s="9" customFormat="1" ht="11.25"/>
    <row r="83" s="9" customFormat="1" ht="11.25"/>
    <row r="84" s="9" customFormat="1" ht="11.25"/>
    <row r="85" s="9" customFormat="1" ht="11.25"/>
    <row r="86" s="9" customFormat="1" ht="11.25"/>
    <row r="87" s="9" customFormat="1" ht="11.25"/>
    <row r="88" s="9" customFormat="1" ht="11.25"/>
    <row r="89" s="9" customFormat="1" ht="11.25"/>
    <row r="90" s="9" customFormat="1" ht="11.25"/>
    <row r="91" s="9" customFormat="1" ht="11.25"/>
    <row r="92" s="9" customFormat="1" ht="11.25"/>
    <row r="93" s="9" customFormat="1" ht="11.25"/>
    <row r="94" s="9" customFormat="1" ht="11.25"/>
    <row r="95" s="9" customFormat="1" ht="11.25"/>
    <row r="96" s="9" customFormat="1" ht="11.25"/>
    <row r="97" s="9" customFormat="1" ht="11.25"/>
    <row r="98" s="9" customFormat="1" ht="11.25"/>
    <row r="99" s="9" customFormat="1" ht="11.25"/>
    <row r="100" s="9" customFormat="1" ht="11.25"/>
    <row r="101" s="9" customFormat="1" ht="11.25"/>
    <row r="102" s="9" customFormat="1" ht="11.25"/>
    <row r="103" s="9" customFormat="1" ht="11.25"/>
    <row r="104" s="9" customFormat="1" ht="11.25"/>
    <row r="105" s="9" customFormat="1" ht="11.25"/>
    <row r="106" s="9" customFormat="1" ht="11.25"/>
    <row r="107" s="9" customFormat="1" ht="11.25"/>
    <row r="108" s="9" customFormat="1" ht="11.25"/>
    <row r="109" s="9" customFormat="1" ht="11.25"/>
    <row r="110" s="9" customFormat="1" ht="11.25"/>
    <row r="111" s="9" customFormat="1" ht="11.25"/>
    <row r="112" s="9" customFormat="1" ht="11.25"/>
    <row r="113" s="9" customFormat="1" ht="11.25"/>
    <row r="114" s="9" customFormat="1" ht="11.25"/>
    <row r="115" s="9" customFormat="1" ht="11.25"/>
    <row r="116" s="9" customFormat="1" ht="11.25"/>
    <row r="117" s="9" customFormat="1" ht="11.25"/>
    <row r="118" s="9" customFormat="1" ht="11.25"/>
    <row r="119" s="9" customFormat="1" ht="11.25"/>
    <row r="120" s="9" customFormat="1" ht="11.25"/>
    <row r="121" s="9" customFormat="1" ht="11.25"/>
    <row r="122" s="9" customFormat="1" ht="11.25"/>
    <row r="123" s="9" customFormat="1" ht="11.25"/>
    <row r="124" s="9" customFormat="1" ht="11.25"/>
    <row r="125" s="9" customFormat="1" ht="11.25"/>
    <row r="126" s="9" customFormat="1" ht="11.25"/>
    <row r="127" s="9" customFormat="1" ht="11.25"/>
    <row r="128" s="9" customFormat="1" ht="11.25"/>
    <row r="129" s="9" customFormat="1" ht="11.25"/>
    <row r="130" s="9" customFormat="1" ht="11.25"/>
    <row r="131" s="9" customFormat="1" ht="11.25"/>
    <row r="132" s="9" customFormat="1" ht="11.25"/>
    <row r="133" s="9" customFormat="1" ht="11.25"/>
    <row r="134" s="9" customFormat="1" ht="11.25"/>
    <row r="135" s="9" customFormat="1" ht="11.25"/>
    <row r="136" s="9" customFormat="1" ht="11.25"/>
    <row r="137" s="9" customFormat="1" ht="11.25"/>
    <row r="138" s="9" customFormat="1" ht="11.25"/>
    <row r="139" s="9" customFormat="1" ht="11.25"/>
    <row r="140" s="9" customFormat="1" ht="11.25"/>
    <row r="141" s="9" customFormat="1" ht="11.25"/>
    <row r="142" s="9" customFormat="1" ht="11.25"/>
    <row r="143" s="9" customFormat="1" ht="11.25"/>
    <row r="144" s="9" customFormat="1" ht="11.25"/>
    <row r="145" s="9" customFormat="1" ht="11.25"/>
    <row r="146" s="9" customFormat="1" ht="11.25"/>
    <row r="147" s="9" customFormat="1" ht="11.25"/>
    <row r="148" s="9" customFormat="1" ht="11.25"/>
    <row r="149" s="9" customFormat="1" ht="11.25"/>
    <row r="150" s="9" customFormat="1" ht="11.25"/>
    <row r="151" s="9" customFormat="1" ht="11.25"/>
    <row r="152" s="9" customFormat="1" ht="11.25"/>
    <row r="153" s="9" customFormat="1" ht="11.25"/>
    <row r="154" s="9" customFormat="1" ht="11.25"/>
    <row r="155" s="9" customFormat="1" ht="11.25"/>
    <row r="156" s="9" customFormat="1" ht="11.25"/>
    <row r="157" s="9" customFormat="1" ht="11.25"/>
    <row r="158" s="9" customFormat="1" ht="11.25"/>
    <row r="159" s="9" customFormat="1" ht="11.25"/>
    <row r="160" s="9" customFormat="1" ht="11.25"/>
    <row r="161" s="9" customFormat="1" ht="11.25"/>
    <row r="162" s="9" customFormat="1" ht="11.25"/>
    <row r="163" s="9" customFormat="1" ht="11.25"/>
    <row r="164" s="9" customFormat="1" ht="11.25"/>
    <row r="165" s="9" customFormat="1" ht="11.25"/>
    <row r="166" s="9" customFormat="1" ht="11.25"/>
    <row r="167" s="9" customFormat="1" ht="11.25"/>
    <row r="168" s="9" customFormat="1" ht="11.25"/>
    <row r="169" s="9" customFormat="1" ht="11.25"/>
    <row r="170" s="9" customFormat="1" ht="11.25"/>
    <row r="171" s="9" customFormat="1" ht="11.25"/>
    <row r="172" s="9" customFormat="1" ht="11.25"/>
    <row r="173" s="9" customFormat="1" ht="11.25"/>
    <row r="174" s="9" customFormat="1" ht="11.25"/>
    <row r="175" s="9" customFormat="1" ht="11.25"/>
    <row r="176" s="9" customFormat="1" ht="11.25"/>
    <row r="177" s="9" customFormat="1" ht="11.25"/>
    <row r="178" s="9" customFormat="1" ht="11.25"/>
    <row r="179" s="9" customFormat="1" ht="11.25"/>
    <row r="180" s="9" customFormat="1" ht="11.25"/>
    <row r="181" s="9" customFormat="1" ht="11.25"/>
    <row r="182" s="9" customFormat="1" ht="11.25"/>
    <row r="183" s="9" customFormat="1" ht="11.25"/>
    <row r="184" s="9" customFormat="1" ht="11.25"/>
    <row r="185" s="9" customFormat="1" ht="11.25"/>
    <row r="186" s="9" customFormat="1" ht="11.25"/>
    <row r="187" s="9" customFormat="1" ht="11.25"/>
    <row r="188" s="9" customFormat="1" ht="11.25"/>
    <row r="189" s="9" customFormat="1" ht="11.25"/>
    <row r="190" s="9" customFormat="1" ht="11.25"/>
    <row r="191" s="9" customFormat="1" ht="11.25"/>
    <row r="192" s="9" customFormat="1" ht="11.25"/>
    <row r="193" s="9" customFormat="1" ht="11.25"/>
    <row r="194" s="9" customFormat="1" ht="11.25"/>
    <row r="195" s="9" customFormat="1" ht="11.25"/>
    <row r="196" s="9" customFormat="1" ht="11.25"/>
    <row r="197" s="9" customFormat="1" ht="11.25"/>
    <row r="198" s="9" customFormat="1" ht="11.25"/>
    <row r="199" s="9" customFormat="1" ht="11.25"/>
    <row r="200" s="9" customFormat="1" ht="11.25"/>
    <row r="201" s="9" customFormat="1" ht="11.25"/>
    <row r="202" s="9" customFormat="1" ht="11.25"/>
    <row r="203" s="9" customFormat="1" ht="11.25"/>
    <row r="204" s="9" customFormat="1" ht="11.25"/>
    <row r="205" s="9" customFormat="1" ht="11.25"/>
    <row r="206" s="9" customFormat="1" ht="11.25"/>
    <row r="207" s="9" customFormat="1" ht="11.25"/>
    <row r="208" s="9" customFormat="1" ht="11.25"/>
    <row r="209" s="9" customFormat="1" ht="11.25"/>
    <row r="210" s="9" customFormat="1" ht="11.25"/>
    <row r="211" s="9" customFormat="1" ht="11.25"/>
    <row r="212" s="9" customFormat="1" ht="11.25"/>
    <row r="213" s="9" customFormat="1" ht="11.25"/>
    <row r="214" s="9" customFormat="1" ht="11.25"/>
    <row r="215" s="9" customFormat="1" ht="11.25"/>
    <row r="216" s="9" customFormat="1" ht="11.25"/>
    <row r="217" s="9" customFormat="1" ht="11.25"/>
    <row r="218" s="9" customFormat="1" ht="11.25"/>
    <row r="219" s="9" customFormat="1" ht="11.25"/>
    <row r="220" s="9" customFormat="1" ht="11.25"/>
    <row r="221" s="9" customFormat="1" ht="11.25"/>
    <row r="222" s="9" customFormat="1" ht="11.25"/>
    <row r="223" s="9" customFormat="1" ht="11.25"/>
    <row r="224" s="9" customFormat="1" ht="11.25"/>
    <row r="225" s="9" customFormat="1" ht="11.25"/>
    <row r="226" s="9" customFormat="1" ht="11.25"/>
    <row r="227" s="9" customFormat="1" ht="11.25"/>
    <row r="228" s="9" customFormat="1" ht="11.25"/>
    <row r="229" s="9" customFormat="1" ht="11.25"/>
    <row r="230" s="9" customFormat="1" ht="11.25"/>
    <row r="231" s="9" customFormat="1" ht="11.25"/>
    <row r="232" s="9" customFormat="1" ht="11.25"/>
    <row r="233" s="9" customFormat="1" ht="11.25"/>
    <row r="234" s="9" customFormat="1" ht="11.25"/>
    <row r="235" s="9" customFormat="1" ht="11.25"/>
    <row r="236" s="9" customFormat="1" ht="11.25"/>
    <row r="237" s="9" customFormat="1" ht="11.25"/>
    <row r="238" s="9" customFormat="1" ht="11.25"/>
    <row r="239" s="9" customFormat="1" ht="11.25"/>
    <row r="240" s="9" customFormat="1" ht="11.25"/>
    <row r="241" s="9" customFormat="1" ht="11.25"/>
    <row r="242" s="9" customFormat="1" ht="11.25"/>
    <row r="243" s="9" customFormat="1" ht="11.25"/>
    <row r="244" s="9" customFormat="1" ht="11.25"/>
    <row r="245" s="9" customFormat="1" ht="11.25"/>
    <row r="246" s="9" customFormat="1" ht="11.25"/>
    <row r="247" s="9" customFormat="1" ht="11.25"/>
    <row r="248" s="9" customFormat="1" ht="11.25"/>
    <row r="249" s="9" customFormat="1" ht="11.25"/>
    <row r="250" s="9" customFormat="1" ht="11.25"/>
    <row r="251" s="9" customFormat="1" ht="11.25"/>
    <row r="252" s="9" customFormat="1" ht="11.25"/>
    <row r="253" s="9" customFormat="1" ht="11.25"/>
    <row r="254" s="9" customFormat="1" ht="11.25"/>
    <row r="255" s="9" customFormat="1" ht="11.25"/>
    <row r="256" s="9" customFormat="1" ht="11.25"/>
    <row r="257" s="9" customFormat="1" ht="11.25"/>
    <row r="258" s="9" customFormat="1" ht="11.25"/>
    <row r="259" s="9" customFormat="1" ht="11.25"/>
    <row r="260" s="9" customFormat="1" ht="11.25"/>
    <row r="261" s="9" customFormat="1" ht="11.25"/>
    <row r="262" s="9" customFormat="1" ht="11.25"/>
    <row r="263" s="9" customFormat="1" ht="11.25"/>
    <row r="264" s="9" customFormat="1" ht="11.25"/>
    <row r="265" s="9" customFormat="1" ht="11.25"/>
    <row r="266" s="9" customFormat="1" ht="11.25"/>
    <row r="267" s="9" customFormat="1" ht="11.25"/>
    <row r="268" s="9" customFormat="1" ht="11.25"/>
    <row r="269" s="9" customFormat="1" ht="11.25"/>
    <row r="270" s="9" customFormat="1" ht="11.25"/>
    <row r="271" s="9" customFormat="1" ht="11.25"/>
    <row r="272" s="9" customFormat="1" ht="11.25"/>
    <row r="273" s="9" customFormat="1" ht="11.25"/>
    <row r="274" s="9" customFormat="1" ht="11.25"/>
    <row r="275" s="9" customFormat="1" ht="11.25"/>
    <row r="276" s="9" customFormat="1" ht="11.25"/>
    <row r="277" s="9" customFormat="1" ht="11.25"/>
    <row r="278" s="9" customFormat="1" ht="11.25"/>
    <row r="279" s="9" customFormat="1" ht="11.25"/>
    <row r="280" s="9" customFormat="1" ht="11.25"/>
    <row r="281" s="9" customFormat="1" ht="11.25"/>
    <row r="282" s="9" customFormat="1" ht="11.25"/>
    <row r="283" s="9" customFormat="1" ht="11.25"/>
    <row r="284" s="9" customFormat="1" ht="11.25"/>
    <row r="285" s="9" customFormat="1" ht="11.25"/>
    <row r="286" s="9" customFormat="1" ht="11.25"/>
    <row r="287" s="9" customFormat="1" ht="11.25"/>
  </sheetData>
  <sheetProtection password="D01C" sheet="1" objects="1"/>
  <mergeCells count="13">
    <mergeCell ref="A1:O1"/>
    <mergeCell ref="J2:L2"/>
    <mergeCell ref="N2:O2"/>
    <mergeCell ref="A2:A3"/>
    <mergeCell ref="B2:B3"/>
    <mergeCell ref="C2:C3"/>
    <mergeCell ref="D2:D3"/>
    <mergeCell ref="E2:E3"/>
    <mergeCell ref="F2:F3"/>
    <mergeCell ref="G2:G3"/>
    <mergeCell ref="H2:H3"/>
    <mergeCell ref="I2:I3"/>
    <mergeCell ref="M2:M3"/>
  </mergeCells>
  <pageMargins left="0.75" right="0.75" top="1" bottom="1" header="0.5" footer="0.5"/>
  <pageSetup paperSize="9" orientation="landscape"/>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8"/>
  <sheetViews>
    <sheetView workbookViewId="0">
      <selection activeCell="D14" sqref="D14"/>
    </sheetView>
  </sheetViews>
  <sheetFormatPr defaultColWidth="9" defaultRowHeight="14.25" outlineLevelRow="7" outlineLevelCol="4"/>
  <cols>
    <col min="1" max="1" width="18.625" customWidth="1"/>
    <col min="2" max="2" width="16" customWidth="1"/>
    <col min="3" max="3" width="21.5" customWidth="1"/>
    <col min="4" max="4" width="13.75" customWidth="1"/>
    <col min="5" max="5" width="19" customWidth="1"/>
    <col min="6" max="6" width="20.375" customWidth="1"/>
    <col min="7" max="7" width="9.375" customWidth="1"/>
    <col min="8" max="8" width="9.125" customWidth="1"/>
    <col min="9" max="11" width="11.5" customWidth="1"/>
    <col min="12" max="12" width="9.375" customWidth="1"/>
    <col min="13" max="13" width="9.125" customWidth="1"/>
    <col min="14" max="14" width="13.5" customWidth="1"/>
    <col min="15" max="16" width="16.875" customWidth="1"/>
    <col min="17" max="18" width="9.375" customWidth="1"/>
    <col min="19" max="19" width="11.5" customWidth="1"/>
    <col min="20" max="22" width="9.375" customWidth="1"/>
    <col min="23" max="23" width="11.25" customWidth="1"/>
    <col min="24" max="24" width="12.75" customWidth="1"/>
    <col min="25" max="25" width="9.125" customWidth="1"/>
    <col min="26" max="26" width="18.25" customWidth="1"/>
  </cols>
  <sheetData>
    <row r="1" spans="1:5">
      <c r="A1" s="3" t="s">
        <v>300</v>
      </c>
      <c r="B1" s="4" t="s">
        <v>301</v>
      </c>
      <c r="C1" s="3" t="s">
        <v>302</v>
      </c>
      <c r="D1" s="4" t="s">
        <v>303</v>
      </c>
      <c r="E1" s="3" t="s">
        <v>304</v>
      </c>
    </row>
    <row r="2" spans="1:5">
      <c r="A2" s="3" t="s">
        <v>305</v>
      </c>
      <c r="B2" s="4" t="s">
        <v>306</v>
      </c>
      <c r="C2" s="3" t="s">
        <v>307</v>
      </c>
      <c r="D2" s="4" t="s">
        <v>308</v>
      </c>
      <c r="E2" s="3" t="s">
        <v>309</v>
      </c>
    </row>
    <row r="3" spans="1:5">
      <c r="A3" s="3" t="s">
        <v>310</v>
      </c>
      <c r="C3" s="3" t="s">
        <v>311</v>
      </c>
      <c r="D3" s="4" t="s">
        <v>312</v>
      </c>
      <c r="E3" s="3" t="s">
        <v>313</v>
      </c>
    </row>
    <row r="4" spans="3:5">
      <c r="C4" s="3" t="s">
        <v>314</v>
      </c>
      <c r="D4" s="4" t="s">
        <v>315</v>
      </c>
      <c r="E4" s="3" t="s">
        <v>316</v>
      </c>
    </row>
    <row r="5" spans="3:5">
      <c r="C5" s="3" t="s">
        <v>317</v>
      </c>
      <c r="D5" s="4" t="s">
        <v>318</v>
      </c>
      <c r="E5" s="3" t="s">
        <v>319</v>
      </c>
    </row>
    <row r="6" spans="5:5">
      <c r="E6" s="3" t="s">
        <v>320</v>
      </c>
    </row>
    <row r="7" spans="3:5">
      <c r="C7" s="8"/>
      <c r="E7" s="3" t="s">
        <v>321</v>
      </c>
    </row>
    <row r="8" spans="3:5">
      <c r="C8" s="8"/>
      <c r="E8" s="3" t="s">
        <v>322</v>
      </c>
    </row>
  </sheetData>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1"/>
  <sheetViews>
    <sheetView workbookViewId="0">
      <selection activeCell="E17" sqref="E17"/>
    </sheetView>
  </sheetViews>
  <sheetFormatPr defaultColWidth="9" defaultRowHeight="14.25"/>
  <cols>
    <col min="1" max="1" width="22.25" customWidth="1"/>
    <col min="2" max="2" width="28.625" customWidth="1"/>
    <col min="3" max="3" width="28.25" customWidth="1"/>
    <col min="4" max="4" width="14.75" customWidth="1"/>
    <col min="5" max="6" width="21.75" customWidth="1"/>
    <col min="7" max="7" width="28.875" customWidth="1"/>
    <col min="8" max="8" width="25.625" customWidth="1"/>
    <col min="9" max="9" width="25" customWidth="1"/>
    <col min="10" max="10" width="22.25" customWidth="1"/>
    <col min="11" max="11" width="18.875" customWidth="1"/>
    <col min="12" max="12" width="22.625" customWidth="1"/>
    <col min="13" max="15" width="14.75" customWidth="1"/>
    <col min="16" max="16" width="16.625" customWidth="1"/>
    <col min="17" max="17" width="19.75" customWidth="1"/>
  </cols>
  <sheetData>
    <row r="1" ht="25" customHeight="1" spans="1:17">
      <c r="A1" s="1" t="s">
        <v>323</v>
      </c>
      <c r="B1" s="2" t="s">
        <v>324</v>
      </c>
      <c r="C1" s="3" t="s">
        <v>325</v>
      </c>
      <c r="D1" s="4" t="s">
        <v>326</v>
      </c>
      <c r="E1" s="3" t="s">
        <v>139</v>
      </c>
      <c r="F1" s="3" t="s">
        <v>327</v>
      </c>
      <c r="G1" s="3" t="s">
        <v>328</v>
      </c>
      <c r="H1" s="3" t="s">
        <v>329</v>
      </c>
      <c r="I1" s="3" t="s">
        <v>330</v>
      </c>
      <c r="J1" s="3" t="s">
        <v>331</v>
      </c>
      <c r="K1" s="3" t="s">
        <v>307</v>
      </c>
      <c r="L1" s="3" t="s">
        <v>311</v>
      </c>
      <c r="M1" s="3" t="s">
        <v>332</v>
      </c>
      <c r="N1" s="3" t="s">
        <v>306</v>
      </c>
      <c r="O1" s="2" t="s">
        <v>333</v>
      </c>
      <c r="P1" s="7" t="s">
        <v>334</v>
      </c>
      <c r="Q1" s="2" t="s">
        <v>317</v>
      </c>
    </row>
    <row r="2" spans="1:17">
      <c r="A2" s="5" t="s">
        <v>335</v>
      </c>
      <c r="B2" s="6" t="s">
        <v>336</v>
      </c>
      <c r="C2" s="3" t="s">
        <v>130</v>
      </c>
      <c r="D2" s="4" t="s">
        <v>191</v>
      </c>
      <c r="E2" s="3" t="s">
        <v>337</v>
      </c>
      <c r="F2" s="4" t="s">
        <v>308</v>
      </c>
      <c r="G2" s="4" t="s">
        <v>338</v>
      </c>
      <c r="H2" s="3" t="s">
        <v>339</v>
      </c>
      <c r="I2" s="3" t="s">
        <v>340</v>
      </c>
      <c r="J2" s="4" t="s">
        <v>341</v>
      </c>
      <c r="K2" s="3" t="s">
        <v>342</v>
      </c>
      <c r="L2" s="3" t="s">
        <v>343</v>
      </c>
      <c r="M2" s="3" t="s">
        <v>344</v>
      </c>
      <c r="N2" s="4" t="s">
        <v>306</v>
      </c>
      <c r="O2" s="2" t="s">
        <v>345</v>
      </c>
      <c r="P2" s="2" t="s">
        <v>346</v>
      </c>
      <c r="Q2" s="7" t="s">
        <v>347</v>
      </c>
    </row>
    <row r="3" spans="1:16">
      <c r="A3" s="5" t="s">
        <v>348</v>
      </c>
      <c r="B3" s="6" t="s">
        <v>349</v>
      </c>
      <c r="C3" s="3" t="s">
        <v>131</v>
      </c>
      <c r="D3" s="4" t="s">
        <v>192</v>
      </c>
      <c r="E3" s="3" t="s">
        <v>350</v>
      </c>
      <c r="F3" s="4" t="s">
        <v>312</v>
      </c>
      <c r="G3" s="4" t="s">
        <v>308</v>
      </c>
      <c r="H3" s="3" t="s">
        <v>351</v>
      </c>
      <c r="I3" s="3" t="s">
        <v>352</v>
      </c>
      <c r="J3" s="4" t="s">
        <v>353</v>
      </c>
      <c r="K3" s="3" t="s">
        <v>354</v>
      </c>
      <c r="L3" s="3" t="s">
        <v>355</v>
      </c>
      <c r="O3" s="2" t="s">
        <v>310</v>
      </c>
      <c r="P3" s="2" t="s">
        <v>356</v>
      </c>
    </row>
    <row r="4" spans="1:16">
      <c r="A4" s="5" t="s">
        <v>357</v>
      </c>
      <c r="B4" s="6" t="s">
        <v>113</v>
      </c>
      <c r="C4" s="3" t="s">
        <v>132</v>
      </c>
      <c r="D4" s="4" t="s">
        <v>193</v>
      </c>
      <c r="E4" s="3" t="s">
        <v>358</v>
      </c>
      <c r="F4" s="4" t="s">
        <v>315</v>
      </c>
      <c r="G4" s="4" t="s">
        <v>312</v>
      </c>
      <c r="H4" s="3" t="s">
        <v>359</v>
      </c>
      <c r="I4" s="3" t="s">
        <v>360</v>
      </c>
      <c r="J4" s="4"/>
      <c r="K4" s="3" t="s">
        <v>361</v>
      </c>
      <c r="L4" s="3"/>
      <c r="O4" s="2" t="s">
        <v>362</v>
      </c>
      <c r="P4" s="2"/>
    </row>
    <row r="5" spans="1:11">
      <c r="A5" s="5" t="s">
        <v>92</v>
      </c>
      <c r="B5" s="6" t="s">
        <v>114</v>
      </c>
      <c r="C5" s="3" t="s">
        <v>133</v>
      </c>
      <c r="D5" s="4" t="s">
        <v>194</v>
      </c>
      <c r="E5" s="3" t="s">
        <v>363</v>
      </c>
      <c r="F5" s="4" t="s">
        <v>364</v>
      </c>
      <c r="G5" s="4" t="s">
        <v>315</v>
      </c>
      <c r="H5" s="3" t="s">
        <v>365</v>
      </c>
      <c r="I5" s="3" t="s">
        <v>366</v>
      </c>
      <c r="K5" s="3" t="s">
        <v>367</v>
      </c>
    </row>
    <row r="6" spans="1:11">
      <c r="A6" s="5" t="s">
        <v>93</v>
      </c>
      <c r="B6" s="6" t="s">
        <v>115</v>
      </c>
      <c r="C6" s="3" t="s">
        <v>134</v>
      </c>
      <c r="E6" s="3" t="s">
        <v>368</v>
      </c>
      <c r="F6" s="4" t="s">
        <v>318</v>
      </c>
      <c r="G6" s="4" t="s">
        <v>364</v>
      </c>
      <c r="H6" s="3" t="s">
        <v>369</v>
      </c>
      <c r="K6" s="3" t="s">
        <v>370</v>
      </c>
    </row>
    <row r="7" spans="1:11">
      <c r="A7" s="5" t="s">
        <v>94</v>
      </c>
      <c r="B7" s="6" t="s">
        <v>116</v>
      </c>
      <c r="C7" s="3"/>
      <c r="E7" s="3" t="s">
        <v>371</v>
      </c>
      <c r="G7" s="4" t="s">
        <v>318</v>
      </c>
      <c r="H7" s="3" t="s">
        <v>372</v>
      </c>
      <c r="K7" s="3" t="s">
        <v>373</v>
      </c>
    </row>
    <row r="8" spans="1:11">
      <c r="A8" s="5" t="s">
        <v>95</v>
      </c>
      <c r="B8" s="6" t="s">
        <v>117</v>
      </c>
      <c r="E8" s="3" t="s">
        <v>374</v>
      </c>
      <c r="H8" s="3" t="s">
        <v>375</v>
      </c>
      <c r="K8" s="3" t="s">
        <v>376</v>
      </c>
    </row>
    <row r="9" spans="1:11">
      <c r="A9" s="5" t="s">
        <v>96</v>
      </c>
      <c r="B9" s="6" t="s">
        <v>118</v>
      </c>
      <c r="E9" s="3" t="s">
        <v>377</v>
      </c>
      <c r="K9" s="3"/>
    </row>
    <row r="10" spans="2:5">
      <c r="B10" s="6" t="s">
        <v>119</v>
      </c>
      <c r="E10" s="3" t="s">
        <v>378</v>
      </c>
    </row>
    <row r="11" spans="5:5">
      <c r="E11" s="3" t="s">
        <v>379</v>
      </c>
    </row>
  </sheetData>
  <pageMargins left="0.75" right="0.75" top="1" bottom="1" header="0.5" footer="0.5"/>
  <pageSetup paperSize="9" orientation="portrait"/>
  <headerFooter alignWithMargins="0"/>
</worksheet>
</file>

<file path=docProps/app.xml><?xml version="1.0" encoding="utf-8"?>
<Properties xmlns="http://schemas.openxmlformats.org/officeDocument/2006/extended-properties" xmlns:vt="http://schemas.openxmlformats.org/officeDocument/2006/docPropsVTypes">
  <Company>www.ftpdown.com</Company>
  <Application>Microsoft Excel</Application>
  <HeadingPairs>
    <vt:vector size="2" baseType="variant">
      <vt:variant>
        <vt:lpstr>工作表</vt:lpstr>
      </vt:variant>
      <vt:variant>
        <vt:i4>4</vt:i4>
      </vt:variant>
    </vt:vector>
  </HeadingPairs>
  <TitlesOfParts>
    <vt:vector size="4" baseType="lpstr">
      <vt:lpstr>量化赋分表</vt:lpstr>
      <vt:lpstr>汇总表</vt:lpstr>
      <vt:lpstr>数据引用表</vt:lpstr>
      <vt:lpstr>其他参数</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FtpDown</dc:creator>
  <cp:lastModifiedBy>…点辐射…</cp:lastModifiedBy>
  <dcterms:created xsi:type="dcterms:W3CDTF">2011-03-12T05:04:00Z</dcterms:created>
  <cp:lastPrinted>2022-11-17T07:18:00Z</cp:lastPrinted>
  <dcterms:modified xsi:type="dcterms:W3CDTF">2023-12-04T07:22:37Z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A01131562E7A472CBE14751A496020EB_13</vt:lpwstr>
  </property>
  <property fmtid="{D5CDD505-2E9C-101B-9397-08002B2CF9AE}" pid="3" name="KSOProductBuildVer">
    <vt:lpwstr>2052-12.1.0.15712</vt:lpwstr>
  </property>
</Properties>
</file>